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24226"/>
  <mc:AlternateContent xmlns:mc="http://schemas.openxmlformats.org/markup-compatibility/2006">
    <mc:Choice Requires="x15">
      <x15ac:absPath xmlns:x15ac="http://schemas.microsoft.com/office/spreadsheetml/2010/11/ac" url="C:\Users\ronva\Desktop\WK pool 2026\"/>
    </mc:Choice>
  </mc:AlternateContent>
  <xr:revisionPtr revIDLastSave="0" documentId="13_ncr:1_{57D399BA-42BD-4D42-8343-C0A0132CBF09}" xr6:coauthVersionLast="47" xr6:coauthVersionMax="47" xr10:uidLastSave="{00000000-0000-0000-0000-000000000000}"/>
  <workbookProtection workbookAlgorithmName="SHA-512" workbookHashValue="IuNH6yL+FX8C/aHjAccAv4MelAQphOMmUv47Y0GsjL9G3cscDWOv3q0MOyI6dMkSu2F61gSWrmTMcKy/2SrEKw==" workbookSaltValue="ZHi/+gJkHgKLxwH/ScaDHg==" workbookSpinCount="100000" lockStructure="1"/>
  <bookViews>
    <workbookView xWindow="2868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26" i="36"/>
  <c r="B79" i="31" s="1"/>
  <c r="D104" i="36"/>
  <c r="D105" i="36"/>
  <c r="C4" i="31" s="1"/>
  <c r="D140" i="36"/>
  <c r="B80" i="31" s="1"/>
  <c r="D152" i="36"/>
  <c r="B92" i="31" s="1"/>
  <c r="D108" i="36"/>
  <c r="E4" i="31" s="1"/>
  <c r="D136" i="36"/>
  <c r="B239" i="31" s="1"/>
  <c r="D160" i="36"/>
  <c r="B100" i="31" s="1"/>
  <c r="D155" i="36"/>
  <c r="B95" i="31" s="1"/>
  <c r="D49" i="36"/>
  <c r="AL149" i="3" s="1"/>
  <c r="D120" i="36"/>
  <c r="E253" i="31" s="1"/>
  <c r="D159" i="36"/>
  <c r="B99" i="31" s="1"/>
  <c r="D15" i="36"/>
  <c r="C7" i="30" s="1"/>
  <c r="D129" i="36"/>
  <c r="B181" i="31" s="1"/>
  <c r="D169" i="36"/>
  <c r="B109" i="31" s="1"/>
  <c r="D190" i="36"/>
  <c r="B210" i="31" s="1"/>
  <c r="B211" i="31" s="1"/>
  <c r="B212" i="31" s="1"/>
  <c r="B213" i="31" s="1"/>
  <c r="B214" i="31" s="1"/>
  <c r="B215" i="31" s="1"/>
  <c r="B216" i="31" s="1"/>
  <c r="B217" i="31" s="1"/>
  <c r="D138" i="36"/>
  <c r="B246" i="31" s="1"/>
  <c r="D132" i="36"/>
  <c r="B219" i="31" s="1"/>
  <c r="D21" i="36"/>
  <c r="AC3" i="3" s="1"/>
  <c r="D31" i="36"/>
  <c r="W141" i="3" s="1"/>
  <c r="D106" i="36"/>
  <c r="E1" i="31" s="1"/>
  <c r="D81" i="36"/>
  <c r="B16" i="34" s="1"/>
  <c r="D107" i="36"/>
  <c r="E3" i="31" s="1"/>
  <c r="D193" i="36"/>
  <c r="B240" i="31" s="1"/>
  <c r="B241" i="31" s="1"/>
  <c r="D51" i="36"/>
  <c r="AJ5" i="3" s="1"/>
  <c r="D186" i="36"/>
  <c r="B126" i="31" s="1"/>
  <c r="D33" i="36"/>
  <c r="AA149" i="3" s="1"/>
  <c r="D19" i="36"/>
  <c r="Z3" i="3" s="1"/>
  <c r="D175" i="36"/>
  <c r="B115" i="31" s="1"/>
  <c r="D183" i="36"/>
  <c r="B123" i="31" s="1"/>
  <c r="D40" i="36"/>
  <c r="W158" i="3" s="1"/>
  <c r="B256" i="31" s="1"/>
  <c r="D24" i="36"/>
  <c r="AV3" i="3" s="1"/>
  <c r="D37" i="36"/>
  <c r="W154" i="3" s="1"/>
  <c r="B253" i="31" s="1"/>
  <c r="D17" i="36"/>
  <c r="X3" i="3" s="1"/>
  <c r="D171" i="36"/>
  <c r="B111" i="31" s="1"/>
  <c r="D187" i="36"/>
  <c r="B127" i="31" s="1"/>
  <c r="D39" i="36"/>
  <c r="W156" i="3" s="1"/>
  <c r="B255" i="31" s="1"/>
  <c r="D38" i="36"/>
  <c r="W155" i="3" s="1"/>
  <c r="B254" i="31" s="1"/>
  <c r="D264" i="36"/>
  <c r="D263" i="36"/>
  <c r="D269" i="36"/>
  <c r="D266" i="36"/>
  <c r="D125" i="36"/>
  <c r="B5" i="31" s="1"/>
  <c r="D69" i="36"/>
  <c r="D255" i="36"/>
  <c r="D271" i="36"/>
  <c r="D259" i="36"/>
  <c r="D70" i="36"/>
  <c r="D95" i="36"/>
  <c r="L21" i="34" s="1"/>
  <c r="D88" i="36"/>
  <c r="L12" i="34" s="1"/>
  <c r="D89" i="36"/>
  <c r="L13" i="34" s="1"/>
  <c r="D91" i="36"/>
  <c r="L15" i="34" s="1"/>
  <c r="D10" i="36"/>
  <c r="D52" i="36"/>
  <c r="AL5" i="3" s="1"/>
  <c r="D30" i="36"/>
  <c r="W136" i="3" s="1"/>
  <c r="D60" i="36"/>
  <c r="AT5" i="3" s="1"/>
  <c r="AT45" i="3" s="1"/>
  <c r="D22" i="36"/>
  <c r="AF3" i="3" s="1"/>
  <c r="D256" i="36" l="1"/>
  <c r="D85" i="36"/>
  <c r="L5" i="34" s="1"/>
  <c r="D35" i="36"/>
  <c r="W151"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W159" i="3" s="1"/>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C1" i="31" s="1"/>
  <c r="D154" i="36"/>
  <c r="B94" i="31" s="1"/>
  <c r="E16" i="30"/>
  <c r="D34" i="36"/>
  <c r="W150" i="3" s="1"/>
  <c r="B250" i="31" s="1"/>
  <c r="D54" i="36"/>
  <c r="AN5" i="3" s="1"/>
  <c r="AN21"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10" i="30" s="1"/>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Z64" i="3"/>
  <c r="Z81" i="3"/>
  <c r="Z96" i="3"/>
  <c r="Z73" i="3"/>
  <c r="Z80" i="3"/>
  <c r="Z56" i="3"/>
  <c r="Z33" i="3"/>
  <c r="AJ29" i="3"/>
  <c r="AJ21" i="3"/>
  <c r="AJ45" i="3"/>
  <c r="C253" i="31"/>
  <c r="D72" i="36"/>
  <c r="AY3" i="3" s="1"/>
  <c r="D273" i="36"/>
  <c r="EU6144" i="34"/>
  <c r="G227" i="36" s="1"/>
  <c r="D227" i="36" s="1"/>
  <c r="K27" i="6" s="1"/>
  <c r="E17" i="30"/>
  <c r="AC19" i="3"/>
  <c r="AC83" i="3"/>
  <c r="AC91" i="3"/>
  <c r="AC75" i="3"/>
  <c r="AC35" i="3"/>
  <c r="AC142" i="3"/>
  <c r="AC130" i="3"/>
  <c r="AC27" i="3"/>
  <c r="AC119" i="3"/>
  <c r="AC67" i="3"/>
  <c r="AC59" i="3"/>
  <c r="Y119" i="3"/>
  <c r="Y100" i="3"/>
  <c r="Y142" i="3"/>
  <c r="AO61" i="3"/>
  <c r="AO29" i="3"/>
  <c r="AO13" i="3"/>
  <c r="Z84" i="3"/>
  <c r="Z52" i="3"/>
  <c r="Z20" i="3"/>
  <c r="Z44" i="3"/>
  <c r="AA162" i="3"/>
  <c r="D258" i="36"/>
  <c r="AD19" i="3"/>
  <c r="AT53" i="3"/>
  <c r="B34" i="34"/>
  <c r="Z9"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Z76" i="3"/>
  <c r="Z53" i="3"/>
  <c r="Z16" i="3"/>
  <c r="AM37" i="3"/>
  <c r="AT77" i="3"/>
  <c r="AF137" i="3"/>
  <c r="AF19" i="3"/>
  <c r="AF35" i="3" s="1"/>
  <c r="Z22" i="3"/>
  <c r="Z87" i="3"/>
  <c r="Z23" i="3"/>
  <c r="Z94" i="3"/>
  <c r="Z71" i="3"/>
  <c r="Z47" i="3"/>
  <c r="C257" i="31"/>
  <c r="Z75" i="3"/>
  <c r="Z51" i="3"/>
  <c r="Z67" i="3"/>
  <c r="AT37" i="3"/>
  <c r="Y11" i="3"/>
  <c r="Y27" i="3" s="1"/>
  <c r="Y43" i="3" s="1"/>
  <c r="Z91" i="3"/>
  <c r="X146" i="3"/>
  <c r="Y130" i="3"/>
  <c r="AT29" i="3"/>
  <c r="X75" i="3"/>
  <c r="Z62" i="3"/>
  <c r="AN101" i="3"/>
  <c r="AN61" i="3"/>
  <c r="AN77" i="3"/>
  <c r="AN37" i="3"/>
  <c r="Y137" i="3"/>
  <c r="AN69" i="3"/>
  <c r="Y83" i="3"/>
  <c r="Z11" i="3"/>
  <c r="Z27" i="3" s="1"/>
  <c r="Z43" i="3" s="1"/>
  <c r="X119" i="3"/>
  <c r="Z7" i="3"/>
  <c r="AD119" i="3"/>
  <c r="AD75" i="3"/>
  <c r="AD83" i="3"/>
  <c r="AD142" i="3"/>
  <c r="AD67" i="3"/>
  <c r="AC100" i="3"/>
  <c r="AC43" i="3"/>
  <c r="AC51" i="3"/>
  <c r="AC11" i="3"/>
  <c r="Z19" i="3"/>
  <c r="Z35" i="3" s="1"/>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63" i="3"/>
  <c r="Z70" i="3"/>
  <c r="AJ13" i="3"/>
  <c r="AJ85" i="3"/>
  <c r="AL13" i="3"/>
  <c r="AY13" i="3" s="1"/>
  <c r="AL21" i="3"/>
  <c r="AY21" i="3" s="1"/>
  <c r="AL53" i="3"/>
  <c r="AY53" i="3" s="1"/>
  <c r="AP69" i="3"/>
  <c r="AP77" i="3"/>
  <c r="BH5" i="3"/>
  <c r="BH57" i="3" s="1"/>
  <c r="AO93" i="3"/>
  <c r="Z14" i="3"/>
  <c r="AJ77" i="3"/>
  <c r="AJ53" i="3"/>
  <c r="AP85" i="3"/>
  <c r="AP93" i="3"/>
  <c r="AP29" i="3"/>
  <c r="AP37" i="3"/>
  <c r="AO69" i="3"/>
  <c r="AO21" i="3"/>
  <c r="AO53" i="3"/>
  <c r="AF100" i="3"/>
  <c r="AF130" i="3"/>
  <c r="AJ37" i="3"/>
  <c r="Z31" i="3" l="1"/>
  <c r="Z61" i="3"/>
  <c r="AN45" i="3"/>
  <c r="AZ69" i="3"/>
  <c r="Z28" i="3"/>
  <c r="AN13" i="3"/>
  <c r="Z93" i="3"/>
  <c r="BF5" i="3"/>
  <c r="BF57" i="3" s="1"/>
  <c r="B227" i="31"/>
  <c r="Z46" i="3"/>
  <c r="Z15" i="3"/>
  <c r="Z30" i="3"/>
  <c r="AN93" i="3"/>
  <c r="Z36" i="3"/>
  <c r="Z41" i="3"/>
  <c r="Z92" i="3"/>
  <c r="C258" i="31"/>
  <c r="Z17" i="3"/>
  <c r="Z78" i="3"/>
  <c r="Z39" i="3"/>
  <c r="AD11" i="3"/>
  <c r="Z54" i="3"/>
  <c r="Z95" i="3"/>
  <c r="AM69" i="3"/>
  <c r="Z4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8" i="3" l="1"/>
  <c r="AG155" i="3"/>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44" i="3"/>
  <c r="X55" i="3"/>
  <c r="Y86" i="3"/>
  <c r="Y4" i="3"/>
  <c r="Y45" i="3"/>
  <c r="Y92" i="3"/>
  <c r="Y85" i="3"/>
  <c r="X13" i="3"/>
  <c r="Y6" i="3"/>
  <c r="X68" i="3"/>
  <c r="X64" i="3"/>
  <c r="Y120" i="3"/>
  <c r="X5" i="3"/>
  <c r="X20" i="3"/>
  <c r="Y23" i="3"/>
  <c r="Y139" i="3"/>
  <c r="Y127" i="3"/>
  <c r="Y114" i="3"/>
  <c r="Y41" i="3"/>
  <c r="X57" i="3"/>
  <c r="X134" i="3"/>
  <c r="X54" i="3"/>
  <c r="Y12" i="3"/>
  <c r="Y88" i="3"/>
  <c r="X93" i="3"/>
  <c r="Y84" i="3"/>
  <c r="X60" i="3"/>
  <c r="Y33" i="3"/>
  <c r="X69" i="3"/>
  <c r="Y133" i="3" l="1"/>
  <c r="X47" i="3"/>
  <c r="Y121" i="3"/>
  <c r="X111" i="3"/>
  <c r="Y30" i="3"/>
  <c r="Y112" i="3"/>
  <c r="X126" i="3"/>
  <c r="X63" i="3"/>
  <c r="X123" i="3"/>
  <c r="Y76" i="3"/>
  <c r="Y22" i="3"/>
  <c r="X89" i="3"/>
  <c r="X24" i="3"/>
  <c r="Y104" i="3"/>
  <c r="X32" i="3"/>
  <c r="X131" i="3"/>
  <c r="Y77" i="3"/>
  <c r="Y36" i="3"/>
  <c r="Y46" i="3"/>
  <c r="Y72" i="3"/>
  <c r="X97" i="3"/>
  <c r="Y96" i="3"/>
  <c r="X80" i="3"/>
  <c r="X107" i="3"/>
  <c r="X52" i="3"/>
  <c r="Y8" i="3"/>
  <c r="X15"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2" i="3"/>
  <c r="F41" i="3"/>
  <c r="BU25" i="3" s="1"/>
  <c r="E36" i="3"/>
  <c r="BW23" i="3" s="1"/>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9" i="3" s="1"/>
  <c r="BW38" i="3"/>
  <c r="BU38" i="3"/>
  <c r="E70" i="3"/>
  <c r="BV50" i="3" l="1"/>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56" i="3"/>
  <c r="CI36" i="3"/>
  <c r="CK36" i="3"/>
  <c r="N61" i="3"/>
  <c r="O64" i="3"/>
  <c r="N79" i="3"/>
  <c r="N96" i="3"/>
  <c r="O97" i="3"/>
  <c r="O95" i="3"/>
  <c r="O93" i="3"/>
  <c r="O44" i="3"/>
  <c r="N95" i="3"/>
  <c r="O47" i="3"/>
  <c r="CI27" i="3" l="1"/>
  <c r="CI51" i="3"/>
  <c r="N29" i="3"/>
  <c r="CJ50" i="3"/>
  <c r="CI9" i="3"/>
  <c r="CI22" i="3"/>
  <c r="O55" i="3"/>
  <c r="O33" i="3"/>
  <c r="CJ19" i="3" s="1"/>
  <c r="N9" i="3"/>
  <c r="N36" i="3"/>
  <c r="O41" i="3"/>
  <c r="O4" i="3"/>
  <c r="O69" i="3"/>
  <c r="CI35" i="3"/>
  <c r="N72" i="3"/>
  <c r="CK21" i="3"/>
  <c r="O30" i="3"/>
  <c r="N32" i="3"/>
  <c r="CJ18" i="3" s="1"/>
  <c r="N7" i="3"/>
  <c r="O29" i="3"/>
  <c r="CI20" i="3" s="1"/>
  <c r="N49" i="3"/>
  <c r="N52" i="3"/>
  <c r="CK24" i="3"/>
  <c r="N54" i="3"/>
  <c r="CI44" i="3"/>
  <c r="N37" i="3"/>
  <c r="CI10" i="3"/>
  <c r="N8" i="3"/>
  <c r="CI6" i="3" s="1"/>
  <c r="CK22" i="3"/>
  <c r="CK41" i="3"/>
  <c r="O52" i="3"/>
  <c r="N97" i="3"/>
  <c r="O77" i="3"/>
  <c r="N80" i="3"/>
  <c r="N55" i="3"/>
  <c r="N81" i="3"/>
  <c r="N84" i="3"/>
  <c r="CI45" i="3"/>
  <c r="O5" i="3"/>
  <c r="N47" i="3"/>
  <c r="CK46" i="3"/>
  <c r="CI33" i="3"/>
  <c r="O53" i="3"/>
  <c r="O79" i="3"/>
  <c r="N6" i="3"/>
  <c r="N86" i="3"/>
  <c r="O32" i="3"/>
  <c r="CI21" i="3" s="1"/>
  <c r="CI12" i="3"/>
  <c r="CI43" i="3"/>
  <c r="N88" i="3"/>
  <c r="N30" i="3"/>
  <c r="CI25" i="3"/>
  <c r="CK6" i="3"/>
  <c r="CK18" i="3"/>
  <c r="CK43" i="3"/>
  <c r="CI18" i="3"/>
  <c r="CK25" i="3"/>
  <c r="N73" i="3"/>
  <c r="CI34" i="3"/>
  <c r="CI49" i="3"/>
  <c r="CI15" i="3"/>
  <c r="N15" i="3"/>
  <c r="CI37" i="3"/>
  <c r="CI11" i="3"/>
  <c r="O96" i="3"/>
  <c r="CJ53" i="3" s="1"/>
  <c r="CL53" i="3" s="1"/>
  <c r="CK34" i="3"/>
  <c r="CK8" i="3"/>
  <c r="CI39" i="3"/>
  <c r="CK30" i="3"/>
  <c r="N68" i="3"/>
  <c r="CK50" i="3"/>
  <c r="O40" i="3"/>
  <c r="O15" i="3"/>
  <c r="N65" i="3"/>
  <c r="O9" i="3"/>
  <c r="CI7" i="3" s="1"/>
  <c r="CI23" i="3"/>
  <c r="O36" i="3"/>
  <c r="CJ22" i="3" s="1"/>
  <c r="CK23" i="3"/>
  <c r="O61" i="3"/>
  <c r="CJ36" i="3" s="1"/>
  <c r="CL36" i="3" s="1"/>
  <c r="CI8" i="3"/>
  <c r="CI47" i="3"/>
  <c r="CK37" i="3"/>
  <c r="N13" i="3"/>
  <c r="O68" i="3"/>
  <c r="O57" i="3"/>
  <c r="O65" i="3"/>
  <c r="N40" i="3"/>
  <c r="O31" i="3"/>
  <c r="CJ21" i="3" s="1"/>
  <c r="N92" i="3"/>
  <c r="CK51" i="3" s="1"/>
  <c r="CK12" i="3"/>
  <c r="N77" i="3"/>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O63" i="3"/>
  <c r="CI40" i="3"/>
  <c r="CK11" i="3"/>
  <c r="O70" i="3"/>
  <c r="CK17" i="3"/>
  <c r="N22" i="3"/>
  <c r="CK42" i="3"/>
  <c r="N78" i="3"/>
  <c r="O81" i="3"/>
  <c r="CI13" i="3"/>
  <c r="N14" i="3"/>
  <c r="CK13" i="3"/>
  <c r="N23" i="3"/>
  <c r="N20" i="3"/>
  <c r="O24" i="3"/>
  <c r="N17" i="3"/>
  <c r="O14" i="3"/>
  <c r="CK33" i="3"/>
  <c r="CK53" i="3"/>
  <c r="CK14" i="3"/>
  <c r="CK49" i="3"/>
  <c r="CK31" i="3"/>
  <c r="CL50" i="3" l="1"/>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M33" i="3"/>
  <c r="DN31" i="3" a="1"/>
  <c r="DN31" i="3" s="1"/>
  <c r="DN33" i="3" l="1" a="1"/>
  <c r="DN33" i="3" s="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5" i="3" l="1"/>
  <c r="BJ65"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D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D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4" i="3" l="1"/>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D133" i="3" s="1"/>
  <c r="M132" i="3"/>
  <c r="AA132" i="3" s="1"/>
  <c r="D132" i="3" s="1"/>
  <c r="AG124" i="3"/>
  <c r="M131" i="3"/>
  <c r="AA131" i="3" s="1"/>
  <c r="D131" i="3" s="1"/>
  <c r="AG121" i="3"/>
  <c r="N131" i="3"/>
  <c r="AF131" i="3" s="1"/>
  <c r="AG120"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BS63" i="3" l="1"/>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C220" i="31"/>
  <c r="C214" i="31"/>
  <c r="B220" i="31"/>
  <c r="AI8" i="45"/>
  <c r="BT68" i="3" l="1"/>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BV61" i="3" l="1"/>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<sst xmlns="http://schemas.openxmlformats.org/spreadsheetml/2006/main" count="6763" uniqueCount="1517">
  <si>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</si>
  <si>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</si>
  <si>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</si>
  <si>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</si>
  <si>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</si>
  <si>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</si>
  <si>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</si>
  <si>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</si>
  <si>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</si>
  <si>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</si>
  <si>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</si>
  <si>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</si>
  <si>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</si>
  <si>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</si>
  <si>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</si>
  <si>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</si>
  <si>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</si>
  <si>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</si>
  <si>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</si>
  <si>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</si>
  <si>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</si>
  <si>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</si>
  <si>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</si>
  <si>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</si>
  <si>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</si>
  <si>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</si>
  <si>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</si>
  <si>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</si>
  <si>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</si>
  <si>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</si>
  <si>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</si>
  <si>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</si>
  <si>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</si>
  <si>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</si>
  <si>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</si>
  <si>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</si>
  <si>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</si>
  <si>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</si>
  <si>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</si>
  <si>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</si>
  <si>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</si>
  <si>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</si>
  <si>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</si>
  <si>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</si>
  <si>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</si>
  <si>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</si>
  <si>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</si>
  <si>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</si>
  <si>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</si>
  <si>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</si>
  <si>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</si>
  <si>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</si>
  <si>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</si>
  <si>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</si>
  <si>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</si>
  <si>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</si>
  <si>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</si>
  <si>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</si>
  <si>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</si>
  <si>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</si>
  <si>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</si>
  <si>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</si>
  <si>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</si>
  <si>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</si>
  <si>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</si>
  <si>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</si>
  <si>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</si>
  <si>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</si>
  <si>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</si>
  <si>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</si>
  <si>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</si>
  <si>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</si>
  <si>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</si>
  <si>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</si>
  <si>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</si>
  <si>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</si>
  <si>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</si>
  <si>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</si>
  <si>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</si>
  <si>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</si>
  <si>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</si>
  <si>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</si>
  <si>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</si>
  <si>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</si>
  <si>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</si>
  <si>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</si>
  <si>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</si>
  <si>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</si>
  <si>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</si>
  <si>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</si>
  <si>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</si>
  <si>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</si>
  <si>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</si>
  <si>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</si>
  <si>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</si>
  <si>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</si>
  <si>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</si>
  <si>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</si>
  <si>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</si>
  <si>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</si>
  <si>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</si>
  <si>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</si>
  <si>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</si>
  <si>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</si>
  <si>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</si>
  <si>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</si>
  <si>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</si>
  <si>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</si>
  <si>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</si>
  <si>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</si>
  <si>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</si>
  <si>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</si>
  <si>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</si>
  <si>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</si>
  <si>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</si>
  <si>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</si>
  <si>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</si>
  <si>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</si>
  <si>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</si>
  <si>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</si>
  <si>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</si>
  <si>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</si>
  <si>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</si>
  <si>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</si>
  <si>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</si>
  <si>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</si>
  <si>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</si>
  <si>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</si>
  <si>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</si>
  <si>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</si>
  <si>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</si>
  <si>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</si>
  <si>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</si>
  <si>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</si>
  <si>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</si>
  <si>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</si>
  <si>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</si>
  <si>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</si>
  <si>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</si>
  <si>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</si>
  <si>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</si>
  <si>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</si>
  <si>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</si>
  <si>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</si>
  <si>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</si>
  <si>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</si>
  <si>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</si>
  <si>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</si>
  <si>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</si>
  <si>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</si>
  <si>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</si>
  <si>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</si>
  <si>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</si>
  <si>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</si>
  <si>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</si>
  <si>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</si>
  <si>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</si>
  <si>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</si>
  <si>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</si>
  <si>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</si>
  <si>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</si>
  <si>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</si>
  <si>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</si>
  <si>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</si>
  <si>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</si>
  <si>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</si>
  <si>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</si>
  <si>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</si>
  <si>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</si>
  <si>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</si>
  <si>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</si>
  <si>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</si>
  <si>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</si>
  <si>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</si>
  <si>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</si>
  <si>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</si>
  <si>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</si>
  <si>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</si>
  <si>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</si>
  <si>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</si>
  <si>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</si>
  <si>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</si>
  <si>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</si>
  <si>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</si>
  <si>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</si>
  <si>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</si>
  <si>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</si>
  <si>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</si>
  <si>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</si>
  <si>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</si>
  <si>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</si>
  <si>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</si>
  <si>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</si>
  <si>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</si>
  <si>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</si>
  <si>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</si>
  <si>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</si>
  <si>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</si>
  <si>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</si>
  <si>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</si>
  <si>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</si>
  <si>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</si>
  <si>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</si>
  <si>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</si>
  <si>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</si>
  <si>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</si>
  <si>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</si>
  <si>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</si>
  <si>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</si>
  <si>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</si>
  <si>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</si>
  <si>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</si>
  <si>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</si>
  <si>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</si>
  <si>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</si>
  <si>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</si>
  <si>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</si>
  <si>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</si>
  <si>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</si>
  <si>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</si>
  <si>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</si>
  <si>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</si>
  <si>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</si>
  <si>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</si>
  <si>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</si>
  <si>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</si>
  <si>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</si>
  <si>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</si>
  <si>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</si>
  <si>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</si>
  <si>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</si>
  <si>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</si>
  <si>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</si>
  <si>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</si>
  <si>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</si>
  <si>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</si>
  <si>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</si>
  <si>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</si>
  <si>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</si>
  <si>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</si>
  <si>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</si>
  <si>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</si>
  <si>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</si>
  <si>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</si>
  <si>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</si>
  <si>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</si>
  <si>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</si>
  <si>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</si>
  <si>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</si>
  <si>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</si>
  <si>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</si>
  <si>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</si>
  <si>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</si>
  <si>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</si>
  <si>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</si>
  <si>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</si>
  <si>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</si>
  <si>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</si>
  <si>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</si>
  <si>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</si>
  <si>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</si>
  <si>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</si>
  <si>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</si>
  <si>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</si>
  <si>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</si>
  <si>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</si>
  <si>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</si>
  <si>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</si>
  <si>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</si>
  <si>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</si>
  <si>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</si>
  <si>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</si>
  <si>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</si>
  <si>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</si>
  <si>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</si>
  <si>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</si>
  <si>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</si>
  <si>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</si>
  <si>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</si>
  <si>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</si>
  <si>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</si>
  <si>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</si>
  <si>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</si>
  <si>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</si>
  <si>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</si>
  <si>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</si>
  <si>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</si>
  <si>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</si>
  <si>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</si>
  <si>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</si>
  <si>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</si>
  <si>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</si>
  <si>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</si>
  <si>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</si>
  <si>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</si>
  <si>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</si>
  <si>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</si>
  <si>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</si>
  <si>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</si>
  <si>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</si>
  <si>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</si>
  <si>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</si>
  <si>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</si>
  <si>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</si>
  <si>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</si>
  <si>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</si>
  <si>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</si>
  <si>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</si>
  <si>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</si>
  <si>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</si>
  <si>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</si>
  <si>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</si>
  <si>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</si>
  <si>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</si>
  <si>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</si>
  <si>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</si>
  <si>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</si>
  <si>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</si>
  <si>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</si>
  <si>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</si>
  <si>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</si>
  <si>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</si>
  <si>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</si>
  <si>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</si>
  <si>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</si>
  <si>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</si>
  <si>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</si>
  <si>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</si>
  <si>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</si>
  <si>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</si>
  <si>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</si>
  <si>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</si>
  <si>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</si>
  <si>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</si>
  <si>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</si>
  <si>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</si>
  <si>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</si>
  <si>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</si>
  <si>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</si>
  <si>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</si>
  <si>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</si>
  <si>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</si>
  <si>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</si>
  <si>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</si>
  <si>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</si>
  <si>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</si>
  <si>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</si>
  <si>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</si>
  <si>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</si>
  <si>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</si>
  <si>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</si>
  <si>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</si>
  <si>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</si>
  <si>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</si>
  <si>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</si>
  <si>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</si>
  <si>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</si>
  <si>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</si>
  <si>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</si>
  <si>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</si>
  <si>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</si>
  <si>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</si>
  <si>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</si>
  <si>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</si>
  <si>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</si>
  <si>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</si>
  <si>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</si>
  <si>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</si>
  <si>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</si>
  <si>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</si>
  <si>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</si>
  <si>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</si>
  <si>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</si>
  <si>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</si>
  <si>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</si>
  <si>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</si>
  <si>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</si>
  <si>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</si>
  <si>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</si>
  <si>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</si>
  <si>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</si>
  <si>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</si>
  <si>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</si>
  <si>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</si>
  <si>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</si>
  <si>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</si>
  <si>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</si>
  <si>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</si>
  <si>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</si>
  <si>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</si>
  <si>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</si>
  <si>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</si>
  <si>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</si>
  <si>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</si>
  <si>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</si>
  <si>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</si>
  <si>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</si>
  <si>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</si>
  <si>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</si>
  <si>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</si>
  <si>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</si>
  <si>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</si>
  <si>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</si>
  <si>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</si>
  <si>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</si>
  <si>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</si>
  <si>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</si>
  <si>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</si>
  <si>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</si>
  <si>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</si>
  <si>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</si>
  <si>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</si>
  <si>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</si>
  <si>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</si>
  <si>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</si>
  <si>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</si>
  <si>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</si>
  <si>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</si>
  <si>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</si>
  <si>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</si>
  <si>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</si>
  <si>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</si>
  <si>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</si>
  <si>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</si>
  <si>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</si>
  <si>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</si>
  <si>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</si>
  <si>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</si>
  <si>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</si>
  <si>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</si>
  <si>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</si>
  <si>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</si>
  <si>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</si>
  <si>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</si>
  <si>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</si>
  <si>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</si>
  <si>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</si>
  <si>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</si>
  <si>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</si>
  <si>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</si>
  <si>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</si>
  <si>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</si>
  <si>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</si>
  <si>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</si>
  <si>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</si>
  <si>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</si>
  <si>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</si>
  <si>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</si>
  <si>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</si>
  <si>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</si>
  <si>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</si>
  <si>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</si>
  <si>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</si>
  <si>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</si>
  <si>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</si>
  <si>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</si>
  <si>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</si>
  <si>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</si>
  <si>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</si>
  <si>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</si>
  <si>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</si>
  <si>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</si>
  <si>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</si>
  <si>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</si>
  <si>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</si>
  <si>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</si>
  <si>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</si>
  <si>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</si>
  <si>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</si>
  <si>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</si>
  <si>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</si>
  <si>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</si>
  <si>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</si>
  <si>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</si>
  <si>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</si>
  <si>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</si>
  <si>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</si>
  <si>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</si>
  <si>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</si>
  <si>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</si>
  <si>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</si>
  <si>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</si>
  <si>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</si>
  <si>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</si>
  <si>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</si>
  <si>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</si>
  <si>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</si>
  <si>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</si>
  <si>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</si>
  <si>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</si>
  <si>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</si>
  <si>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</si>
  <si>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</si>
  <si>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</si>
  <si>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</si>
  <si>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</si>
  <si>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</si>
  <si>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</si>
  <si>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</si>
  <si>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</si>
  <si>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</si>
  <si>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</si>
  <si>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</si>
  <si>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</si>
  <si>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</si>
  <si>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</si>
  <si>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</si>
  <si>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</si>
  <si>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</si>
  <si>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</si>
  <si>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</si>
  <si>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</si>
  <si>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</si>
  <si>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</si>
  <si>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</si>
  <si>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</si>
  <si>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</si>
  <si>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</si>
  <si>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</si>
  <si>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</si>
  <si>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</si>
  <si>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</si>
  <si>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</si>
  <si>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</si>
  <si>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</si>
  <si>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</si>
  <si>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</si>
  <si>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</si>
  <si>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</si>
  <si>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</si>
  <si>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</si>
  <si>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</si>
  <si>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</si>
  <si>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</si>
  <si>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</si>
  <si>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</si>
  <si>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</si>
  <si>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</si>
  <si>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</si>
  <si>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</si>
  <si>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</si>
  <si>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</si>
  <si>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</si>
  <si>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</si>
  <si>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</si>
  <si>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</si>
  <si>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</si>
  <si>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</si>
  <si>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</si>
  <si>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</si>
  <si>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</si>
  <si>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</si>
  <si>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</si>
  <si>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</si>
  <si>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</si>
  <si>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</si>
  <si>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</si>
  <si>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</si>
  <si>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</si>
  <si>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</si>
  <si>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</si>
  <si>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</si>
  <si>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</si>
  <si>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</si>
  <si>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</si>
  <si>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</si>
  <si>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</si>
  <si>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</si>
  <si>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</si>
  <si>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</si>
  <si>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</si>
  <si>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</si>
  <si>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</si>
  <si>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</si>
  <si>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</si>
  <si>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</si>
  <si>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</si>
  <si>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</si>
  <si>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</si>
  <si>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</si>
  <si>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</si>
  <si>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</si>
  <si>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</si>
  <si>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</si>
  <si>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</si>
  <si>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</si>
  <si>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</si>
  <si>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</si>
  <si>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</si>
  <si>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</si>
  <si>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</si>
  <si>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</si>
  <si>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</si>
  <si>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</si>
  <si>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</si>
  <si>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</si>
  <si>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</si>
  <si>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</si>
  <si>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</si>
  <si>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</si>
  <si>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</si>
  <si>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</si>
  <si>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</si>
  <si>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</si>
  <si>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</si>
  <si>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</si>
  <si>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</si>
  <si>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</si>
  <si>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</si>
  <si>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</si>
  <si>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</si>
  <si>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</si>
  <si>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</si>
  <si>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</si>
  <si>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</si>
  <si>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</si>
  <si>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</si>
  <si>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</si>
  <si>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</si>
  <si>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</si>
  <si>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</si>
  <si>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</si>
  <si>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</si>
  <si>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</si>
  <si>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</si>
  <si>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</si>
  <si>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</si>
  <si>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</si>
  <si>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</si>
  <si>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</si>
  <si>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</si>
  <si>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</si>
  <si>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</si>
  <si>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</si>
  <si>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</si>
  <si>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</si>
  <si>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</si>
  <si>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</si>
  <si>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</si>
  <si>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</si>
  <si>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</si>
  <si>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</si>
  <si>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</si>
  <si>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</si>
  <si>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</si>
  <si>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</si>
  <si>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</si>
  <si>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</si>
  <si>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</si>
  <si>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</si>
  <si>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</si>
  <si>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</si>
  <si>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</si>
  <si>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</si>
  <si>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</si>
  <si>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</si>
  <si>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</si>
  <si>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</si>
  <si>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</si>
  <si>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</si>
  <si>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</si>
  <si>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</si>
  <si>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</si>
  <si>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</si>
  <si>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</si>
  <si>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</si>
  <si>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</si>
  <si>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</si>
  <si>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</si>
  <si>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</si>
  <si>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</si>
  <si>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</si>
  <si>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</si>
  <si>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</si>
  <si>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</si>
  <si>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</si>
  <si>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</si>
  <si>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</si>
  <si>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</si>
  <si>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</si>
  <si>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</si>
  <si>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</si>
  <si>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</si>
  <si>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</si>
  <si>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</si>
  <si>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</si>
  <si>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</si>
  <si>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</si>
  <si>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</si>
  <si>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</si>
  <si>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</si>
  <si>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</si>
  <si>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</si>
  <si>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</si>
  <si>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</si>
  <si>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</si>
  <si>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</si>
  <si>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</si>
  <si>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</si>
  <si>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</si>
  <si>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</si>
  <si>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</si>
  <si>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</si>
  <si>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</si>
  <si>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</si>
  <si>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</si>
  <si>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</si>
  <si>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</si>
  <si>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</si>
  <si>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</si>
  <si>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</si>
  <si>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</si>
  <si>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</si>
  <si>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</si>
  <si>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</si>
  <si>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</si>
  <si>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</si>
  <si>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</si>
  <si>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</si>
  <si>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</si>
  <si>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</si>
  <si>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</si>
  <si>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</si>
  <si>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</si>
  <si>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</si>
  <si>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</si>
  <si>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</si>
  <si>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</si>
  <si>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</si>
  <si>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</si>
  <si>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</si>
  <si>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</si>
  <si>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</si>
  <si>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</si>
  <si>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</si>
  <si>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</si>
  <si>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</si>
  <si>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</si>
  <si>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</si>
  <si>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</si>
  <si>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</si>
  <si>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</si>
  <si>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</si>
  <si>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</si>
  <si>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</si>
  <si>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</si>
  <si>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</si>
  <si>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</si>
  <si>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</si>
  <si>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</si>
  <si>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</si>
  <si>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</si>
  <si>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</si>
  <si>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</si>
  <si>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</si>
  <si>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</si>
  <si>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</si>
  <si>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</si>
  <si>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</si>
  <si>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</si>
  <si>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</si>
  <si>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</si>
  <si>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</si>
  <si>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</si>
  <si>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</si>
  <si>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</si>
  <si>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</si>
  <si>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</si>
  <si>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</si>
  <si>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</si>
  <si>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</si>
  <si>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</si>
  <si>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</si>
  <si>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</si>
  <si>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</si>
  <si>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</si>
  <si>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</si>
  <si>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</si>
  <si>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</si>
  <si>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</si>
  <si>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</si>
  <si>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</si>
  <si>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</si>
  <si>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</si>
  <si>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</si>
  <si>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</si>
  <si>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</si>
  <si>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</si>
  <si>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</si>
  <si>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</si>
  <si>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</si>
  <si>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</si>
  <si>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</si>
  <si>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</si>
  <si>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</si>
  <si>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</si>
  <si>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</si>
  <si>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</si>
  <si>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</si>
  <si>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</si>
  <si>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</si>
  <si>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</si>
  <si>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</si>
  <si>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</si>
  <si>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</si>
  <si>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</si>
  <si>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</si>
  <si>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</si>
  <si>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</si>
  <si>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</si>
  <si>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</si>
  <si>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</si>
  <si>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</si>
  <si>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</si>
  <si>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</si>
  <si>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</si>
  <si>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</si>
  <si>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</si>
  <si>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</si>
  <si>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</si>
  <si>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</si>
  <si>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</si>
  <si>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</si>
  <si>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</si>
  <si>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</si>
  <si>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</si>
  <si>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</si>
  <si>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</si>
  <si>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</si>
  <si>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</si>
  <si>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</si>
  <si>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</si>
  <si>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</si>
  <si>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</si>
  <si>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</si>
  <si>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</si>
  <si>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</si>
  <si>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</si>
  <si>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</si>
  <si>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</si>
  <si>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</si>
  <si>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</si>
  <si>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</si>
  <si>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</si>
  <si>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</si>
  <si>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</si>
  <si>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</si>
  <si>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</si>
  <si>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</si>
  <si>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</si>
  <si>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</si>
  <si>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</si>
  <si>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</si>
  <si>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</si>
  <si>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</si>
  <si>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</si>
  <si>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</si>
  <si>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</si>
  <si>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</si>
  <si>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</si>
  <si>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</si>
  <si>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</si>
  <si>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</si>
  <si>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</si>
  <si>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</si>
  <si>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</si>
  <si>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</si>
  <si>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</si>
  <si>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</si>
  <si>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</si>
  <si>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</si>
  <si>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</si>
  <si>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</si>
  <si>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</si>
  <si>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</si>
  <si>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</si>
  <si>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</si>
  <si>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</si>
  <si>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</si>
  <si>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</si>
  <si>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</si>
  <si>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</si>
  <si>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</si>
  <si>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</si>
  <si>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</si>
  <si>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</si>
  <si>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</si>
  <si>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</si>
  <si>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</si>
  <si>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</si>
  <si>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</si>
  <si>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</si>
  <si>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</si>
  <si>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</si>
  <si>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</si>
  <si>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</si>
  <si>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</si>
  <si>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</si>
  <si>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</si>
  <si>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</si>
  <si>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</si>
  <si>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</si>
  <si>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</si>
  <si>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</si>
  <si>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</si>
  <si>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</si>
  <si>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</si>
  <si>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</si>
  <si>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</si>
  <si>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</si>
  <si>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</si>
  <si>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</si>
  <si>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</si>
  <si>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</si>
  <si>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</si>
  <si>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</si>
  <si>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</si>
  <si>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</si>
  <si>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</si>
  <si>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</si>
  <si>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</si>
  <si>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</si>
  <si>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</si>
  <si>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</si>
  <si>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</si>
  <si>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</si>
  <si>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</si>
  <si>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</si>
  <si>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</si>
  <si>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</si>
  <si>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</si>
  <si>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</si>
  <si>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</si>
  <si>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</si>
  <si>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</si>
  <si>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</si>
  <si>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</si>
  <si>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</si>
  <si>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</si>
  <si>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</si>
  <si>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</si>
  <si>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</si>
  <si>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</si>
  <si>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</si>
  <si>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</si>
  <si>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</si>
  <si>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</si>
  <si>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</si>
  <si>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</si>
  <si>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</si>
  <si>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</si>
  <si>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</si>
  <si>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</si>
  <si>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</si>
  <si>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</si>
  <si>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</si>
  <si>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</si>
  <si>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</si>
  <si>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</si>
  <si>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</si>
  <si>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</si>
  <si>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</si>
  <si>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</si>
  <si>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</si>
  <si>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</si>
  <si>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</si>
  <si>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</si>
  <si>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</si>
  <si>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</si>
  <si>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</si>
  <si>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</si>
  <si>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</si>
  <si>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</si>
  <si>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</si>
  <si>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</si>
  <si>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</si>
  <si>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</si>
  <si>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</si>
  <si>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</si>
  <si>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</si>
  <si>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</si>
  <si>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</si>
  <si>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</si>
  <si>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</si>
  <si>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</si>
  <si>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</si>
  <si>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</si>
  <si>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</si>
  <si>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</si>
  <si>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</si>
  <si>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</si>
  <si>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</si>
  <si>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</si>
  <si>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</si>
  <si>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</si>
  <si>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</si>
  <si>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</si>
  <si>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</si>
  <si>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</si>
  <si>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</si>
  <si>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</si>
  <si>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</si>
  <si>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</si>
  <si>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</si>
  <si>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</si>
  <si>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</si>
  <si>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</si>
  <si>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</si>
  <si>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</si>
  <si>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</si>
  <si>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</si>
  <si>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</si>
  <si>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</si>
  <si>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</si>
  <si>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</si>
  <si>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</si>
  <si>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</si>
  <si>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</si>
  <si>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</si>
  <si>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</si>
  <si>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</si>
  <si>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</si>
  <si>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</si>
  <si>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</si>
  <si>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</si>
  <si>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</si>
  <si>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</si>
  <si>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</si>
  <si>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</si>
  <si>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</si>
  <si>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</si>
  <si>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</si>
  <si>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</si>
  <si>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</si>
  <si>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</si>
  <si>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</si>
  <si>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</si>
  <si>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</si>
  <si>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</si>
  <si>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</si>
  <si>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</si>
  <si>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</si>
  <si>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</si>
  <si>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</si>
  <si>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</si>
  <si>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</si>
  <si>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</si>
  <si>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</si>
  <si>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</si>
  <si>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</si>
  <si>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</si>
  <si>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</si>
  <si>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</si>
  <si>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</si>
  <si>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</si>
  <si>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</si>
  <si>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</si>
  <si>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</si>
  <si>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</si>
  <si>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</si>
  <si>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</si>
  <si>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</si>
  <si>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</si>
  <si>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</si>
  <si>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</si>
  <si>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</si>
  <si>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</si>
  <si>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</si>
  <si>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</si>
  <si>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</si>
  <si>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</si>
  <si>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</si>
  <si>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</si>
  <si>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</si>
  <si>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</si>
  <si>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</si>
  <si>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</si>
  <si>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</si>
  <si>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</si>
  <si>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</si>
  <si>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</si>
  <si>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</si>
  <si>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</si>
  <si>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</si>
  <si>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</si>
  <si>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</si>
  <si>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</si>
  <si>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</si>
  <si>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</si>
  <si>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</si>
  <si>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</si>
  <si>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</si>
  <si>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</si>
  <si>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</si>
  <si>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</si>
  <si>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</si>
  <si>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</si>
  <si>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</si>
  <si>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</si>
  <si>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</si>
  <si>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</si>
  <si>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</si>
  <si>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</si>
  <si>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</si>
  <si>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</si>
  <si>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</si>
  <si>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</si>
  <si>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</si>
  <si>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</si>
  <si>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</si>
  <si>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</si>
  <si>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</si>
  <si>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</si>
  <si>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</si>
  <si>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</si>
  <si>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</si>
  <si>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</si>
  <si>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</si>
  <si>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</si>
  <si>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</si>
  <si>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</si>
  <si>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</si>
  <si>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</si>
  <si>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</si>
  <si>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</si>
  <si>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</si>
  <si>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</si>
  <si>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</si>
  <si>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</si>
  <si>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</si>
  <si>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</si>
  <si>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</si>
  <si>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</si>
  <si>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</si>
  <si>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</si>
  <si>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</si>
  <si>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</si>
  <si>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</si>
  <si>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</si>
  <si>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</si>
  <si>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</si>
  <si>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</si>
  <si>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</si>
  <si>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</si>
  <si>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</si>
  <si>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</si>
  <si>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</si>
  <si>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</si>
  <si>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</si>
  <si>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</si>
  <si>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</si>
  <si>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</si>
  <si>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</si>
  <si>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</si>
  <si>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</si>
  <si>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</si>
  <si>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</si>
  <si>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</si>
  <si>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</si>
  <si>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</si>
  <si>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</si>
  <si>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</si>
  <si>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</si>
  <si>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</si>
  <si>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</si>
  <si>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</si>
  <si>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</si>
  <si>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</si>
  <si>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</si>
  <si>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</si>
  <si>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</si>
  <si>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</si>
  <si>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</si>
  <si>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</si>
  <si>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</si>
  <si>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</si>
  <si>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</si>
  <si>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</si>
  <si>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</si>
  <si>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</si>
  <si>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</si>
  <si>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</si>
  <si>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</si>
  <si>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</si>
  <si>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</si>
  <si>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</si>
  <si>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</si>
  <si>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</si>
  <si>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</si>
  <si>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</si>
  <si>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</si>
  <si>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</si>
  <si>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</si>
  <si>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</si>
  <si>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</si>
  <si>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</si>
  <si>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</si>
  <si>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</si>
  <si>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</si>
  <si>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</si>
  <si>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</si>
  <si>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</si>
  <si>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</si>
  <si>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</si>
  <si>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</si>
  <si>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</si>
  <si>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</si>
  <si>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</si>
  <si>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</si>
  <si>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</si>
  <si>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</si>
  <si>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</si>
  <si>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</si>
  <si>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</si>
  <si>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</si>
  <si>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</si>
  <si>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</si>
  <si>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</si>
  <si>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</si>
  <si>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</si>
  <si>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</si>
  <si>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</si>
  <si>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</si>
  <si>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</si>
  <si>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</si>
  <si>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</si>
  <si>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</si>
  <si>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</si>
  <si>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</si>
  <si>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</si>
  <si>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</si>
  <si>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</si>
  <si>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</si>
  <si>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</si>
  <si>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</si>
  <si>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</si>
  <si>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</si>
  <si>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</si>
  <si>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</si>
  <si>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</si>
  <si>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</si>
  <si>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</si>
  <si>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</si>
  <si>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</si>
  <si>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</si>
  <si>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</si>
  <si>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</si>
  <si>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</si>
  <si>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</si>
  <si>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</si>
  <si>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</si>
  <si>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</si>
  <si>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</si>
  <si>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</si>
  <si>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</si>
  <si>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</si>
  <si>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</si>
  <si>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</si>
  <si>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</si>
  <si>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</si>
  <si>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</si>
  <si>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</si>
  <si>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</si>
  <si>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</si>
  <si>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</si>
  <si>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</si>
  <si>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</si>
  <si>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</si>
  <si>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</si>
  <si>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</si>
  <si>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</si>
  <si>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</si>
  <si>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</si>
  <si>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</si>
  <si>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</si>
  <si>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</si>
  <si>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</si>
  <si>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</si>
  <si>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</si>
  <si>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</si>
  <si>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</si>
  <si>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</si>
  <si>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</si>
  <si>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</si>
  <si>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</si>
  <si>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</si>
  <si>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</si>
  <si>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</si>
  <si>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</si>
  <si>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</si>
  <si>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</si>
  <si>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</si>
  <si>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</si>
  <si>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</si>
  <si>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</si>
  <si>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</si>
  <si>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</si>
  <si>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</si>
  <si>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</si>
  <si>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</si>
  <si>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</si>
  <si>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</si>
  <si>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</si>
  <si>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</si>
  <si>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</si>
  <si>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</si>
  <si>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</si>
  <si>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</si>
  <si>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</si>
  <si>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</si>
  <si>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</si>
  <si>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</si>
  <si>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</si>
  <si>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</si>
  <si>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</si>
  <si>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</si>
  <si>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</si>
  <si>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</si>
  <si>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</si>
  <si>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</si>
  <si>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</si>
  <si>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</si>
  <si>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</si>
  <si>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</si>
  <si>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</si>
  <si>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</si>
  <si>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</si>
  <si>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</si>
  <si>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</si>
  <si>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</si>
  <si>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</si>
  <si>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</si>
  <si>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</si>
  <si>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</si>
  <si>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</si>
  <si>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</si>
  <si>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</si>
  <si>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</si>
  <si>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</si>
  <si>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</si>
  <si>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</si>
  <si>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</si>
  <si>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</si>
  <si>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</si>
  <si>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</si>
  <si>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</si>
  <si>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</si>
  <si>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</si>
  <si>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</si>
  <si>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</si>
  <si>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</si>
  <si>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</si>
  <si>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</si>
  <si>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</si>
  <si>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</si>
  <si>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</si>
  <si>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</si>
  <si>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</si>
  <si>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</si>
  <si>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</si>
  <si>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</si>
  <si>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</si>
  <si>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</si>
  <si>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</si>
  <si>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</si>
  <si>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</si>
  <si>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</si>
  <si>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</si>
  <si>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</si>
  <si>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</si>
  <si>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</si>
  <si>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</si>
  <si>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</si>
  <si>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</si>
  <si>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</si>
  <si>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</si>
  <si>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</si>
  <si>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</si>
  <si>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</si>
  <si>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</si>
  <si>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</si>
  <si>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</si>
  <si>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</si>
  <si>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</si>
  <si>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</si>
  <si>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</si>
  <si>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</si>
  <si>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</si>
  <si>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</si>
  <si>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</si>
  <si>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</si>
  <si>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</si>
  <si>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</si>
  <si>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</si>
  <si>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</si>
  <si>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</si>
  <si>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</si>
  <si>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</si>
  <si>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</si>
  <si>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</si>
  <si>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</si>
  <si>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</si>
  <si>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</si>
  <si>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</si>
  <si>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</si>
  <si>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</si>
  <si>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</si>
  <si>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</si>
  <si>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</si>
  <si>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</si>
  <si>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</si>
  <si>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</si>
  <si>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</si>
  <si>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</si>
  <si>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</si>
  <si>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</si>
  <si>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</si>
  <si>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</si>
  <si>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</si>
  <si>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</si>
  <si>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</si>
  <si>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</si>
  <si>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</si>
  <si>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</si>
  <si>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</si>
  <si>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</si>
  <si>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</si>
  <si>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</si>
  <si>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</si>
  <si>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</si>
  <si>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</si>
  <si>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</si>
  <si>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</si>
  <si>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</si>
  <si>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</si>
  <si>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</si>
  <si>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</si>
  <si>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</si>
  <si>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</si>
  <si>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</si>
  <si>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</si>
  <si>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</si>
  <si>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</si>
  <si>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</si>
  <si>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</si>
  <si>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</si>
  <si>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</si>
  <si>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</si>
  <si>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</si>
  <si>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</si>
  <si>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</si>
  <si>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</si>
  <si>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</si>
  <si>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</si>
  <si>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</si>
  <si>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</si>
  <si>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</si>
  <si>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</si>
  <si>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</si>
  <si>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</si>
  <si>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</si>
  <si>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</si>
  <si>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</si>
  <si>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</si>
  <si>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</si>
  <si>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</si>
  <si>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</si>
  <si>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</si>
  <si>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</si>
  <si>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</si>
  <si>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</si>
  <si>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</si>
  <si>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</si>
  <si>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</si>
  <si>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</si>
  <si>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</si>
  <si>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</si>
  <si>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</si>
  <si>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</si>
  <si>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</si>
  <si>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</si>
  <si>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</si>
  <si>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</si>
  <si>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</si>
  <si>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</si>
  <si>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</si>
  <si>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</si>
  <si>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</si>
  <si>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</si>
  <si>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</si>
  <si>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</si>
  <si>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</si>
  <si>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</si>
  <si>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</si>
  <si>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</si>
  <si>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</si>
  <si>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</si>
  <si>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</si>
  <si>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</si>
  <si>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</si>
  <si>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</si>
  <si>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</si>
  <si>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</si>
  <si>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</si>
  <si>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</si>
  <si>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</si>
  <si>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</si>
  <si>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</si>
  <si>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</si>
  <si>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</si>
  <si>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</si>
  <si>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</si>
  <si>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</si>
  <si>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</si>
  <si>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</si>
  <si>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</si>
  <si>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ntv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</si>
</sst>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1" fillId="4" borderId="97" xfId="0" applyFont="1" applyFill="1" applyBorder="1" applyAlignment="1" applyProtection="1">
      <alignment vertical="center"/>
      <protection locked="0"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B7" sqref="B7"/>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tr">
        <f>Idiomas!D45</f>
        <v>Name</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A159" sqref="AA159"/>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Pendiente</v>
      </c>
      <c r="E4" s="16" t="str">
        <f t="shared" ref="E4:E9" si="1">IF(D4="Pendiente","-",INDEX($BT$6:$BT$53,MATCH($AA4,$BD$6:$BD$53,0)))</f>
        <v>-</v>
      </c>
      <c r="F4" s="16" t="str">
        <f t="shared" ref="F4:F9" si="2">IF(D4="Pendiente","-",INDEX($BT$6:$BT$53,MATCH($AF4,$BD$6:$BD$53,0)))</f>
        <v>-</v>
      </c>
      <c r="G4" s="16"/>
      <c r="H4" s="16" t="str">
        <f t="shared" ref="H4:H9" si="3">IF(D4="Pendiente","-",INDEX($BZ$6:$BZ$53,MATCH($AA4,$BD$6:$BD$53,0)))</f>
        <v>-</v>
      </c>
      <c r="I4" s="16" t="str">
        <f t="shared" ref="I4:I9" si="4">IF(D4="Pendiente","-",INDEX($BZ$6:$BZ$53,MATCH($AF4,$BD$6:$BD$53,0)))</f>
        <v>-</v>
      </c>
      <c r="J4" s="16"/>
      <c r="K4" s="16" t="str">
        <f t="shared" ref="K4:K9" si="5">IF(D4="Pendiente","-",INDEX($CE$6:$CE$53,MATCH($AA4,$BD$6:$BD$53,0)))</f>
        <v>-</v>
      </c>
      <c r="L4" s="16" t="str">
        <f t="shared" ref="L4:L9" si="6">IF(D4="Pendiente","-",INDEX($CE$6:$CE$53,MATCH($AF4,$BD$6:$BD$53,0)))</f>
        <v>-</v>
      </c>
      <c r="M4" s="16"/>
      <c r="N4" s="16" t="str">
        <f t="shared" ref="N4:N9" si="7">IF(D4="Pendiente","-",INDEX($CH$6:$CH$53,MATCH($AA4,$BD$6:$BD$53,0)))</f>
        <v>-</v>
      </c>
      <c r="O4" s="16" t="str">
        <f t="shared" ref="O4:O9" si="8">IF(D4="Pendiente","-",INDEX($CH$6:$CH$53,MATCH($AF4,$BD$6:$BD$53,0)))</f>
        <v>-</v>
      </c>
      <c r="P4" s="16"/>
      <c r="Q4" s="16" t="str">
        <f t="shared" ref="Q4:Q9" si="9">IF(D4="Pendiente","-",INDEX($CN$6:$CN$53,MATCH($AA4,$BD$6:$BD$53,0)))</f>
        <v>-</v>
      </c>
      <c r="R4" s="16" t="str">
        <f t="shared" ref="R4:R9" si="10">IF(D4="Pendiente","-",INDEX($CN$6:$CN$53,MATCH($AF4,$BD$6:$BD$53,0)))</f>
        <v>-</v>
      </c>
      <c r="S4" s="16"/>
      <c r="T4" s="16" t="str">
        <f t="shared" ref="T4:T9" si="11">IF(D4="Pendiente","-",INDEX($CS$6:$CS$53,MATCH($AA4,$BD$6:$BD$53,0)))</f>
        <v>-</v>
      </c>
      <c r="U4" s="16" t="str">
        <f t="shared" ref="U4:U9" si="12">IF(D4="Pendiente","-",INDEX($CS$6:$CS$53,MATCH($AF4,$BD$6:$BD$53,0)))</f>
        <v>-</v>
      </c>
      <c r="V4" s="17"/>
      <c r="W4" s="638" t="s">
        <v>0</v>
      </c>
      <c r="X4" s="24">
        <f ca="1">Horarios!C4</f>
        <v>46184.875</v>
      </c>
      <c r="Y4" s="25">
        <f ca="1">Horarios!C4</f>
        <v>46184.875</v>
      </c>
      <c r="Z4" s="26" t="str">
        <f>Idiomas!D61</f>
        <v>R1</v>
      </c>
      <c r="AA4" s="27" t="str">
        <f ca="1">+A5</f>
        <v>Mexico</v>
      </c>
      <c r="AB4" s="49" t="e" cm="1" vm="1">
        <f t="array" aca="1" ref="AB4" ca="1">Ver_flag_local</f>
        <v>#VALUE!</v>
      </c>
      <c r="AC4" s="50"/>
      <c r="AD4" s="51"/>
      <c r="AE4" s="595" t="e" cm="1" vm="2">
        <f t="array" aca="1" ref="AE4" ca="1">Ver_flag_visit</f>
        <v>#VALUE!</v>
      </c>
      <c r="AF4" s="32" t="str">
        <f ca="1">A6</f>
        <v>South Africa</v>
      </c>
      <c r="AG4" s="323">
        <f t="shared" ref="AG4:AG9" si="13">IF(NOT(OR(ISBLANK(AC4),ISBLANK(AD4))),1,0)</f>
        <v>0</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Pendiente</v>
      </c>
      <c r="E5" s="16" t="str">
        <f t="shared" si="1"/>
        <v>-</v>
      </c>
      <c r="F5" s="16" t="str">
        <f t="shared" si="2"/>
        <v>-</v>
      </c>
      <c r="G5" s="16"/>
      <c r="H5" s="16" t="str">
        <f t="shared" si="3"/>
        <v>-</v>
      </c>
      <c r="I5" s="16" t="str">
        <f t="shared" si="4"/>
        <v>-</v>
      </c>
      <c r="J5" s="16"/>
      <c r="K5" s="16" t="str">
        <f t="shared" si="5"/>
        <v>-</v>
      </c>
      <c r="L5" s="16" t="str">
        <f t="shared" si="6"/>
        <v>-</v>
      </c>
      <c r="M5" s="16"/>
      <c r="N5" s="16" t="str">
        <f t="shared" si="7"/>
        <v>-</v>
      </c>
      <c r="O5" s="16" t="str">
        <f t="shared" si="8"/>
        <v>-</v>
      </c>
      <c r="P5" s="16"/>
      <c r="Q5" s="16" t="str">
        <f t="shared" si="9"/>
        <v>-</v>
      </c>
      <c r="R5" s="16" t="str">
        <f t="shared" si="10"/>
        <v>-</v>
      </c>
      <c r="S5" s="16"/>
      <c r="T5" s="16" t="str">
        <f t="shared" si="11"/>
        <v>-</v>
      </c>
      <c r="U5" s="16" t="str">
        <f t="shared" si="12"/>
        <v>-</v>
      </c>
      <c r="V5" s="17"/>
      <c r="W5" s="638"/>
      <c r="X5" s="24">
        <f ca="1">Horarios!C5</f>
        <v>46185.166666666664</v>
      </c>
      <c r="Y5" s="25">
        <f ca="1">Horarios!C5</f>
        <v>46185.166666666664</v>
      </c>
      <c r="Z5" s="26" t="str">
        <f>$Z$4</f>
        <v>R1</v>
      </c>
      <c r="AA5" s="27" t="str">
        <f ca="1">A7</f>
        <v>South Korea</v>
      </c>
      <c r="AB5" s="49" t="e" cm="1" vm="3">
        <f t="array" aca="1" ref="AB5" ca="1">Ver_flag_local</f>
        <v>#VALUE!</v>
      </c>
      <c r="AC5" s="50"/>
      <c r="AD5" s="51"/>
      <c r="AE5" s="595" t="e" cm="1" vm="4">
        <f t="array" aca="1" ref="AE5" ca="1">Ver_flag_visit</f>
        <v>#VALUE!</v>
      </c>
      <c r="AF5" s="32" t="str">
        <f ca="1">A8</f>
        <v>Czech Republic</v>
      </c>
      <c r="AG5" s="323">
        <f t="shared" si="13"/>
        <v>0</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Pendiente</v>
      </c>
      <c r="E6" s="16" t="str">
        <f t="shared" si="1"/>
        <v>-</v>
      </c>
      <c r="F6" s="16" t="str">
        <f t="shared" si="2"/>
        <v>-</v>
      </c>
      <c r="G6" s="16"/>
      <c r="H6" s="16" t="str">
        <f t="shared" si="3"/>
        <v>-</v>
      </c>
      <c r="I6" s="16" t="str">
        <f t="shared" si="4"/>
        <v>-</v>
      </c>
      <c r="J6" s="16"/>
      <c r="K6" s="16" t="str">
        <f t="shared" si="5"/>
        <v>-</v>
      </c>
      <c r="L6" s="16" t="str">
        <f t="shared" si="6"/>
        <v>-</v>
      </c>
      <c r="M6" s="16"/>
      <c r="N6" s="16" t="str">
        <f t="shared" si="7"/>
        <v>-</v>
      </c>
      <c r="O6" s="16" t="str">
        <f t="shared" si="8"/>
        <v>-</v>
      </c>
      <c r="P6" s="16"/>
      <c r="Q6" s="16" t="str">
        <f t="shared" si="9"/>
        <v>-</v>
      </c>
      <c r="R6" s="16" t="str">
        <f t="shared" si="10"/>
        <v>-</v>
      </c>
      <c r="S6" s="16"/>
      <c r="T6" s="16" t="str">
        <f t="shared" si="11"/>
        <v>-</v>
      </c>
      <c r="U6" s="16" t="str">
        <f t="shared" si="12"/>
        <v>-</v>
      </c>
      <c r="V6" s="17"/>
      <c r="W6" s="638"/>
      <c r="X6" s="24">
        <f ca="1">Horarios!C6</f>
        <v>46191.75</v>
      </c>
      <c r="Y6" s="25">
        <f ca="1">Horarios!C6</f>
        <v>46191.75</v>
      </c>
      <c r="Z6" s="26" t="str">
        <f>Idiomas!D62</f>
        <v>R2</v>
      </c>
      <c r="AA6" s="27" t="str">
        <f ca="1">A8</f>
        <v>Czech Republic</v>
      </c>
      <c r="AB6" s="49" t="e" cm="1" vm="4">
        <f t="array" aca="1" ref="AB6" ca="1">Ver_flag_local</f>
        <v>#VALUE!</v>
      </c>
      <c r="AC6" s="50"/>
      <c r="AD6" s="51"/>
      <c r="AE6" s="595" t="e" cm="1" vm="2">
        <f t="array" aca="1" ref="AE6" ca="1">Ver_flag_visit</f>
        <v>#VALUE!</v>
      </c>
      <c r="AF6" s="32" t="str">
        <f ca="1">A6</f>
        <v>South Africa</v>
      </c>
      <c r="AG6" s="323">
        <f t="shared" si="13"/>
        <v>0</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0</v>
      </c>
      <c r="AN6" s="36">
        <f t="shared" ca="1" si="15"/>
        <v>0</v>
      </c>
      <c r="AO6" s="36">
        <f t="shared" ca="1" si="15"/>
        <v>0</v>
      </c>
      <c r="AP6" s="36">
        <f t="shared" ca="1" si="15"/>
        <v>0</v>
      </c>
      <c r="AQ6" s="36">
        <f t="shared" ca="1" si="15"/>
        <v>0</v>
      </c>
      <c r="AR6" s="36">
        <f t="shared" ca="1" si="15"/>
        <v>0</v>
      </c>
      <c r="AS6" s="36">
        <f t="shared" ca="1" si="15"/>
        <v>0</v>
      </c>
      <c r="AT6" s="41">
        <f t="shared" ca="1" si="15"/>
        <v>0</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0</v>
      </c>
      <c r="BF6" s="16">
        <f ca="1">+BG6+BH6+BI6</f>
        <v>0</v>
      </c>
      <c r="BG6" s="16">
        <f t="shared" ref="BG6:BG53" ca="1" si="17">+COUNTIFS(FGLocal,BD6,Ganador,"Local")+COUNTIFS(FGVisitante,BD6,Ganador,"Visitante")</f>
        <v>0</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0</v>
      </c>
      <c r="BK6" s="16">
        <f t="shared" ref="BK6:BK53" ca="1" si="21">+SUMIFS(FG_GolesLocal,FGVisitante,BD6,Ganador,"&lt;&gt;"&amp;"Pendiente",FG_GolesLocal,"&lt;&gt;"&amp;"",FG_GolesVisitante,"&lt;&gt;"&amp;"")+SUMIFS(FG_GolesVisitante,FGLocal,BD6,Ganador,"&lt;&gt;"&amp;"Pendiente",FG_GolesLocal,"&lt;&gt;"&amp;"",FG_GolesVisitante,"&lt;&gt;"&amp;"")</f>
        <v>0</v>
      </c>
      <c r="BL6" s="16">
        <f ca="1">+BJ6-BK6</f>
        <v>0</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0</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(4)</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0</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(4)</v>
      </c>
      <c r="CA6" s="16">
        <f t="shared" ref="CA6:CA53" ca="1" si="27">IF($BZ6="-","-",SUMIFS(FG_GolesLocal,FGLocal,$BD6,Part1Empate2V,$BZ6)+SUMIFS(FG_GolesVisitante,FGVisitante,$BD6,Part1Empate2L,$BZ6))</f>
        <v>0</v>
      </c>
      <c r="CB6" s="16">
        <f t="shared" ref="CB6:CB53" ca="1" si="28">IF($BZ6="-","-",SUMIFS(FG_GolesVisitante,FGLocal,$BD6,Part1Empate2V,$BZ6)+SUMIFS(FG_GolesLocal,FGVisitante,$BD6,Part1Empate2L,$BZ6))</f>
        <v>0</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(4)</v>
      </c>
      <c r="CF6" s="16">
        <f t="shared" ref="CF6:CF53" ca="1" si="29">IF($CE6="-","-",SUMIFS(FG_GolesLocal,FGLocal,$BD6,Part1Empate3V,$CE6)+SUMIFS(FG_GolesVisitante,FGVisitante,$BD6,Part1Empate3L,$CE6))</f>
        <v>0</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(4)</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0</v>
      </c>
      <c r="CK6" s="16">
        <f t="shared" ref="CK6:CK53" ca="1" si="32">IF($CH6="-","-",COUNTIFS(FGLocal,$BD6,Ganador,"Visitante",Part2Empate4V,$CH6)+COUNTIFS(FGVisitante,$BD6,Ganador,"Local",Part2Empate4L,$CH6))</f>
        <v>0</v>
      </c>
      <c r="CL6" s="16">
        <f ca="1">IF($CH6="-","-",CI6*3+CJ6)</f>
        <v>0</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(4)</v>
      </c>
      <c r="CO6" s="16">
        <f t="shared" ref="CO6:CO53" ca="1" si="33">IF($CN6="-","-",SUMIFS(FG_GolesLocal,FGLocal,$BD6,Part2Empate5V,$CN6)+SUMIFS(FG_GolesVisitante,FGVisitante,$BD6,Part2Empate5L,$CN6))</f>
        <v>0</v>
      </c>
      <c r="CP6" s="16">
        <f t="shared" ref="CP6:CP53" ca="1" si="34">IF($CN6="-","-",SUMIFS(FG_GolesVisitante,FGLocal,$BD6,Part2Empate5V,$CN6)+SUMIFS(FG_GolesLocal,FGVisitante,$BD6,Part2Empate5L,$CN6))</f>
        <v>0</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(4)</v>
      </c>
      <c r="CT6" s="16">
        <f t="shared" ref="CT6:CT53" ca="1" si="35">IF($CS6="-","-",SUMIFS(FG_GolesLocal,FGLocal,$BD6,Part2Empate6V,$CS6)+SUMIFS(FG_GolesVisitante,FGVisitante,$BD6,Part2Empate6L,$CS6))</f>
        <v>0</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(4)</v>
      </c>
      <c r="CW6" s="16">
        <f t="shared" ref="CW6:CW53" ca="1" si="36">IF(CV6="-","-",BL6)</f>
        <v>0</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(4)</v>
      </c>
      <c r="CZ6" s="16">
        <f t="shared" ref="CZ6:CZ53" ca="1" si="37">IF(CY6="-","-",BJ6)</f>
        <v>0</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(4)</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0</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Pendiente</v>
      </c>
      <c r="E7" s="16" t="str">
        <f t="shared" si="1"/>
        <v>-</v>
      </c>
      <c r="F7" s="16" t="str">
        <f t="shared" si="2"/>
        <v>-</v>
      </c>
      <c r="G7" s="16"/>
      <c r="H7" s="16" t="str">
        <f t="shared" si="3"/>
        <v>-</v>
      </c>
      <c r="I7" s="16" t="str">
        <f t="shared" si="4"/>
        <v>-</v>
      </c>
      <c r="J7" s="16"/>
      <c r="K7" s="16" t="str">
        <f t="shared" si="5"/>
        <v>-</v>
      </c>
      <c r="L7" s="16" t="str">
        <f t="shared" si="6"/>
        <v>-</v>
      </c>
      <c r="M7" s="16"/>
      <c r="N7" s="16" t="str">
        <f t="shared" si="7"/>
        <v>-</v>
      </c>
      <c r="O7" s="16" t="str">
        <f t="shared" si="8"/>
        <v>-</v>
      </c>
      <c r="P7" s="16"/>
      <c r="Q7" s="16" t="str">
        <f t="shared" si="9"/>
        <v>-</v>
      </c>
      <c r="R7" s="16" t="str">
        <f t="shared" si="10"/>
        <v>-</v>
      </c>
      <c r="S7" s="16"/>
      <c r="T7" s="16" t="str">
        <f t="shared" si="11"/>
        <v>-</v>
      </c>
      <c r="U7" s="16" t="str">
        <f t="shared" si="12"/>
        <v>-</v>
      </c>
      <c r="V7" s="17"/>
      <c r="W7" s="638"/>
      <c r="X7" s="24">
        <f ca="1">Horarios!C7</f>
        <v>46192.125</v>
      </c>
      <c r="Y7" s="25">
        <f ca="1">Horarios!C7</f>
        <v>46192.125</v>
      </c>
      <c r="Z7" s="26" t="str">
        <f>$Z$6</f>
        <v>R2</v>
      </c>
      <c r="AA7" s="27" t="str">
        <f ca="1">A5</f>
        <v>Mexico</v>
      </c>
      <c r="AB7" s="49" t="e" cm="1" vm="1">
        <f t="array" aca="1" ref="AB7" ca="1">Ver_flag_local</f>
        <v>#VALUE!</v>
      </c>
      <c r="AC7" s="50"/>
      <c r="AD7" s="51"/>
      <c r="AE7" s="595" t="e" cm="1" vm="3">
        <f t="array" aca="1" ref="AE7" ca="1">Ver_flag_visit</f>
        <v>#VALUE!</v>
      </c>
      <c r="AF7" s="32" t="str">
        <f ca="1">A7</f>
        <v>South Korea</v>
      </c>
      <c r="AG7" s="323">
        <f t="shared" si="13"/>
        <v>0</v>
      </c>
      <c r="AH7" s="195">
        <v>28</v>
      </c>
      <c r="AI7" s="181" t="str">
        <f>AJ7&amp;$B$4</f>
        <v>2A</v>
      </c>
      <c r="AJ7" s="42">
        <v>2</v>
      </c>
      <c r="AK7" s="598" t="e" cm="1" vm="2">
        <f t="array" aca="1" ref="AK7" ca="1">Ver_flag_visit</f>
        <v>#VALUE!</v>
      </c>
      <c r="AL7" s="37" t="str">
        <f ca="1">IFERROR(INDEX($BD$6:$BD$53,MATCH(AI7,$BN$6:$BN$53,0)),"")</f>
        <v>South Africa</v>
      </c>
      <c r="AM7" s="38">
        <f t="shared" ca="1" si="15"/>
        <v>0</v>
      </c>
      <c r="AN7" s="39">
        <f t="shared" ca="1" si="15"/>
        <v>0</v>
      </c>
      <c r="AO7" s="39">
        <f t="shared" ca="1" si="15"/>
        <v>0</v>
      </c>
      <c r="AP7" s="39">
        <f t="shared" ca="1" si="15"/>
        <v>0</v>
      </c>
      <c r="AQ7" s="39">
        <f t="shared" ca="1" si="15"/>
        <v>0</v>
      </c>
      <c r="AR7" s="39">
        <f t="shared" ca="1" si="15"/>
        <v>0</v>
      </c>
      <c r="AS7" s="39">
        <f t="shared" ca="1" si="15"/>
        <v>0</v>
      </c>
      <c r="AT7" s="43">
        <f t="shared" ca="1" si="15"/>
        <v>0</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0</v>
      </c>
      <c r="BG7" s="16">
        <f t="shared" ca="1" si="17"/>
        <v>0</v>
      </c>
      <c r="BH7" s="16">
        <f t="shared" ca="1" si="18"/>
        <v>0</v>
      </c>
      <c r="BI7" s="16">
        <f t="shared" ca="1" si="19"/>
        <v>0</v>
      </c>
      <c r="BJ7" s="16">
        <f t="shared" ca="1" si="20"/>
        <v>0</v>
      </c>
      <c r="BK7" s="16">
        <f t="shared" ca="1" si="21"/>
        <v>0</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P.1 (4)</v>
      </c>
      <c r="BU7" s="16">
        <f t="shared" ca="1" si="24"/>
        <v>0</v>
      </c>
      <c r="BV7" s="16">
        <f t="shared" ca="1" si="25"/>
        <v>0</v>
      </c>
      <c r="BW7" s="16">
        <f t="shared" ca="1" si="26"/>
        <v>0</v>
      </c>
      <c r="BX7" s="16">
        <f ca="1">IF($BT7="-","-",BU7*3+BV7)</f>
        <v>0</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P.1 (4)</v>
      </c>
      <c r="CA7" s="16">
        <f t="shared" ca="1" si="27"/>
        <v>0</v>
      </c>
      <c r="CB7" s="16">
        <f t="shared" ca="1" si="28"/>
        <v>0</v>
      </c>
      <c r="CC7" s="16">
        <f ca="1">IF($BZ7="-","-",CA7-CB7)</f>
        <v>0</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P.1 (4)</v>
      </c>
      <c r="CF7" s="16">
        <f t="shared" ca="1" si="29"/>
        <v>0</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P.1 (4)</v>
      </c>
      <c r="CI7" s="16">
        <f t="shared" ca="1" si="30"/>
        <v>0</v>
      </c>
      <c r="CJ7" s="16">
        <f t="shared" ca="1" si="31"/>
        <v>0</v>
      </c>
      <c r="CK7" s="16">
        <f t="shared" ca="1" si="32"/>
        <v>0</v>
      </c>
      <c r="CL7" s="16">
        <f ca="1">IF($CH7="-","-",CI7*3+CJ7)</f>
        <v>0</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P.1 (4)</v>
      </c>
      <c r="CO7" s="16">
        <f t="shared" ca="1" si="33"/>
        <v>0</v>
      </c>
      <c r="CP7" s="16">
        <f t="shared" ca="1" si="34"/>
        <v>0</v>
      </c>
      <c r="CQ7" s="16">
        <f ca="1">IF($CN7="-","-",CO7-CP7)</f>
        <v>0</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P.1 (4)</v>
      </c>
      <c r="CT7" s="16">
        <f t="shared" ca="1" si="35"/>
        <v>0</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P.1 (4)</v>
      </c>
      <c r="CW7" s="16">
        <f t="shared" ca="1" si="36"/>
        <v>0</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P.1 (4)</v>
      </c>
      <c r="CZ7" s="16">
        <f t="shared" ca="1" si="37"/>
        <v>0</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P.1 (4)</v>
      </c>
      <c r="DC7" s="16">
        <f ca="1">IF(DB7="-","-",COUNTIFS(T_Equipos[Rank],"&lt;"&amp;INDEX(T_Equipos[Rank],MATCH(BD7,T_Equipos[NombreEquipo],0)),$BC$6:$BC$53,INDEX(T_Equipos[Grupo],MATCH(BD7,T_Equipos[NombreEquipo],0)))+1)</f>
        <v>2</v>
      </c>
      <c r="DD7" s="16">
        <f ca="1">DA7+COUNTIFS($DB$6:$DB$53,DB7,$DC$6:DC$53,"&lt;"&amp;DC7,$BC$6:$BC$53,INDEX(T_Equipos[Grupo],MATCH(BD7,T_Equipos[NombreEquipo],0)))</f>
        <v>2</v>
      </c>
      <c r="DE7" s="16"/>
      <c r="DF7" s="16">
        <f t="shared" ref="DF7:DF9" ca="1" si="45">IF(OR(INDEX($AW$6:$AW$97,MATCH($BD7,$AV$6:$AV$97,0))="",DB7="-"),DD7,INDEX($AW$6:$AW$97,MATCH($BD7,$AV$6:$AV$97,0))+DD7/1000)</f>
        <v>2</v>
      </c>
      <c r="DG7" s="16">
        <f ca="1">IF(DB7="-","-",COUNTIFS(DF$6:DF$53,"&lt;"&amp;DF7,$BC$6:$BC$53,INDEX(T_Equipos[Grupo],MATCH(BD7,T_Equipos[NombreEquipo],0))))</f>
        <v>1</v>
      </c>
      <c r="DH7" s="16">
        <f ca="1">DA7+COUNTIFS(DB$6:DB$53,DB7,DG$6:DG$53,"&lt;"&amp;DG7,$BC$6:$BC$53,INDEX(T_Equipos[Grupo],MATCH(BD7,T_Equipos[NombreEquipo],0)))</f>
        <v>2</v>
      </c>
      <c r="DI7" s="16"/>
      <c r="DJ7" s="16">
        <f t="shared" ca="1" si="38"/>
        <v>1</v>
      </c>
      <c r="DK7" s="16">
        <f t="shared" ca="1" si="39"/>
        <v>0</v>
      </c>
      <c r="DL7" s="16">
        <f t="shared" ca="1" si="40"/>
        <v>1</v>
      </c>
      <c r="DM7" s="16" t="str">
        <f t="shared" ref="DM7:DM53" ca="1" si="46">DJ7&amp;"."&amp;DL7</f>
        <v>1.1</v>
      </c>
      <c r="DN7" s="16" cm="1">
        <f t="array" aca="1" ref="DN7" ca="1">OFFSET(Horarios!$P$3,DJ7-1,0,DL7,1)</f>
        <v>1</v>
      </c>
      <c r="DO7" s="16"/>
      <c r="DP7" s="16" t="s">
        <v>658</v>
      </c>
      <c r="DQ7" s="16" t="str">
        <f t="shared" ref="DQ7:DQ53" ca="1" si="47">INDEX($BD$6:$BD$53,MATCH(DP7,$BM$6:$BM$53,0))</f>
        <v>South Africa</v>
      </c>
    </row>
    <row r="8" spans="1:121" ht="15.95" customHeight="1">
      <c r="A8" s="16" t="str">
        <f ca="1">+Equipos!B5</f>
        <v>Czech Republic</v>
      </c>
      <c r="B8" s="16"/>
      <c r="C8" s="16"/>
      <c r="D8" s="16" t="str">
        <f t="shared" si="0"/>
        <v>Pendiente</v>
      </c>
      <c r="E8" s="16" t="str">
        <f t="shared" si="1"/>
        <v>-</v>
      </c>
      <c r="F8" s="16" t="str">
        <f t="shared" si="2"/>
        <v>-</v>
      </c>
      <c r="G8" s="16"/>
      <c r="H8" s="16" t="str">
        <f t="shared" si="3"/>
        <v>-</v>
      </c>
      <c r="I8" s="16" t="str">
        <f t="shared" si="4"/>
        <v>-</v>
      </c>
      <c r="J8" s="16"/>
      <c r="K8" s="16" t="str">
        <f t="shared" si="5"/>
        <v>-</v>
      </c>
      <c r="L8" s="16" t="str">
        <f t="shared" si="6"/>
        <v>-</v>
      </c>
      <c r="M8" s="16"/>
      <c r="N8" s="16" t="str">
        <f t="shared" si="7"/>
        <v>-</v>
      </c>
      <c r="O8" s="16" t="str">
        <f t="shared" si="8"/>
        <v>-</v>
      </c>
      <c r="P8" s="16"/>
      <c r="Q8" s="16" t="str">
        <f t="shared" si="9"/>
        <v>-</v>
      </c>
      <c r="R8" s="16" t="str">
        <f t="shared" si="10"/>
        <v>-</v>
      </c>
      <c r="S8" s="16"/>
      <c r="T8" s="16" t="str">
        <f t="shared" si="11"/>
        <v>-</v>
      </c>
      <c r="U8" s="16" t="str">
        <f t="shared" si="12"/>
        <v>-</v>
      </c>
      <c r="V8" s="17"/>
      <c r="W8" s="638"/>
      <c r="X8" s="24">
        <f ca="1">Horarios!C8</f>
        <v>46198.125</v>
      </c>
      <c r="Y8" s="25">
        <f ca="1">Horarios!C8</f>
        <v>46198.125</v>
      </c>
      <c r="Z8" s="26" t="str">
        <f>Idiomas!D63</f>
        <v>R3</v>
      </c>
      <c r="AA8" s="27" t="str">
        <f ca="1">A8</f>
        <v>Czech Republic</v>
      </c>
      <c r="AB8" s="49" t="e" cm="1" vm="4">
        <f t="array" aca="1" ref="AB8" ca="1">Ver_flag_local</f>
        <v>#VALUE!</v>
      </c>
      <c r="AC8" s="50"/>
      <c r="AD8" s="51"/>
      <c r="AE8" s="595" t="e" cm="1" vm="1">
        <f t="array" aca="1" ref="AE8" ca="1">Ver_flag_visit</f>
        <v>#VALUE!</v>
      </c>
      <c r="AF8" s="32" t="str">
        <f ca="1">A5</f>
        <v>Mexico</v>
      </c>
      <c r="AG8" s="323">
        <f t="shared" si="13"/>
        <v>0</v>
      </c>
      <c r="AH8" s="195">
        <v>53</v>
      </c>
      <c r="AI8" s="181" t="str">
        <f>AJ8&amp;$B$4</f>
        <v>3A</v>
      </c>
      <c r="AJ8" s="42">
        <v>3</v>
      </c>
      <c r="AK8" s="598" t="e" cm="1" vm="3">
        <f t="array" aca="1" ref="AK8" ca="1">Ver_flag_visit</f>
        <v>#VALUE!</v>
      </c>
      <c r="AL8" s="37" t="str">
        <f ca="1">IFERROR(INDEX($BD$6:$BD$53,MATCH(AI8,$BN$6:$BN$53,0)),"")</f>
        <v>South Korea</v>
      </c>
      <c r="AM8" s="38">
        <f t="shared" ca="1" si="15"/>
        <v>0</v>
      </c>
      <c r="AN8" s="39">
        <f t="shared" ca="1" si="15"/>
        <v>0</v>
      </c>
      <c r="AO8" s="39">
        <f t="shared" ca="1" si="15"/>
        <v>0</v>
      </c>
      <c r="AP8" s="39">
        <f t="shared" ca="1" si="15"/>
        <v>0</v>
      </c>
      <c r="AQ8" s="39">
        <f t="shared" ca="1" si="15"/>
        <v>0</v>
      </c>
      <c r="AR8" s="39">
        <f t="shared" ca="1" si="15"/>
        <v>0</v>
      </c>
      <c r="AS8" s="39">
        <f t="shared" ca="1" si="15"/>
        <v>0</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0</v>
      </c>
      <c r="BG8" s="16">
        <f t="shared" ca="1" si="17"/>
        <v>0</v>
      </c>
      <c r="BH8" s="16">
        <f t="shared" ca="1" si="18"/>
        <v>0</v>
      </c>
      <c r="BI8" s="16">
        <f t="shared" ca="1" si="19"/>
        <v>0</v>
      </c>
      <c r="BJ8" s="16">
        <f t="shared" ca="1" si="20"/>
        <v>0</v>
      </c>
      <c r="BK8" s="16">
        <f t="shared" ca="1" si="21"/>
        <v>0</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(4)</v>
      </c>
      <c r="BU8" s="16">
        <f t="shared" ca="1" si="24"/>
        <v>0</v>
      </c>
      <c r="BV8" s="16">
        <f t="shared" ca="1" si="25"/>
        <v>0</v>
      </c>
      <c r="BW8" s="16">
        <f t="shared" ca="1" si="26"/>
        <v>0</v>
      </c>
      <c r="BX8" s="16">
        <f ca="1">IF($BT8="-","-",BU8*3+BV8)</f>
        <v>0</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(4)</v>
      </c>
      <c r="CA8" s="16">
        <f t="shared" ca="1" si="27"/>
        <v>0</v>
      </c>
      <c r="CB8" s="16">
        <f t="shared" ca="1" si="28"/>
        <v>0</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(4)</v>
      </c>
      <c r="CF8" s="16">
        <f t="shared" ca="1" si="29"/>
        <v>0</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(4)</v>
      </c>
      <c r="CI8" s="16">
        <f t="shared" ca="1" si="30"/>
        <v>0</v>
      </c>
      <c r="CJ8" s="16">
        <f t="shared" ca="1" si="31"/>
        <v>0</v>
      </c>
      <c r="CK8" s="16">
        <f t="shared" ca="1" si="32"/>
        <v>0</v>
      </c>
      <c r="CL8" s="16">
        <f ca="1">IF($CH8="-","-",CI8*3+CJ8)</f>
        <v>0</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(4)</v>
      </c>
      <c r="CO8" s="16">
        <f t="shared" ca="1" si="33"/>
        <v>0</v>
      </c>
      <c r="CP8" s="16">
        <f t="shared" ca="1" si="34"/>
        <v>0</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(4)</v>
      </c>
      <c r="CT8" s="16">
        <f t="shared" ca="1" si="35"/>
        <v>0</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(4)</v>
      </c>
      <c r="CW8" s="16">
        <f t="shared" ca="1" si="36"/>
        <v>0</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(4)</v>
      </c>
      <c r="CZ8" s="16">
        <f t="shared" ca="1" si="37"/>
        <v>0</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(4)</v>
      </c>
      <c r="DC8" s="16">
        <f ca="1">IF(DB8="-","-",COUNTIFS(T_Equipos[Rank],"&lt;"&amp;INDEX(T_Equipos[Rank],MATCH(BD8,T_Equipos[NombreEquipo],0)),$BC$6:$BC$53,INDEX(T_Equipos[Grupo],MATCH(BD8,T_Equipos[NombreEquipo],0)))+1)</f>
        <v>3</v>
      </c>
      <c r="DD8" s="16">
        <f ca="1">DA8+COUNTIFS($DB$6:$DB$53,DB8,$DC$6:DC$53,"&lt;"&amp;DC8,$BC$6:$BC$53,INDEX(T_Equipos[Grupo],MATCH(BD8,T_Equipos[NombreEquipo],0)))</f>
        <v>3</v>
      </c>
      <c r="DE8" s="16"/>
      <c r="DF8" s="16">
        <f t="shared" ca="1" si="45"/>
        <v>3</v>
      </c>
      <c r="DG8" s="16">
        <f ca="1">IF(DB8="-","-",COUNTIFS(DF$6:DF$53,"&lt;"&amp;DF8,$BC$6:$BC$53,INDEX(T_Equipos[Grupo],MATCH(BD8,T_Equipos[NombreEquipo],0))))</f>
        <v>2</v>
      </c>
      <c r="DH8" s="16">
        <f ca="1">DA8+COUNTIFS(DB$6:DB$53,DB8,DG$6:DG$53,"&lt;"&amp;DG8,$BC$6:$BC$53,INDEX(T_Equipos[Grupo],MATCH(BD8,T_Equipos[NombreEquipo],0)))</f>
        <v>3</v>
      </c>
      <c r="DI8" s="16"/>
      <c r="DJ8" s="16">
        <f t="shared" ca="1" si="38"/>
        <v>1</v>
      </c>
      <c r="DK8" s="16">
        <f t="shared" ca="1" si="39"/>
        <v>0</v>
      </c>
      <c r="DL8" s="16">
        <f t="shared" ca="1" si="40"/>
        <v>1</v>
      </c>
      <c r="DM8" s="16" t="str">
        <f t="shared" ca="1" si="46"/>
        <v>1.1</v>
      </c>
      <c r="DN8" s="16" cm="1">
        <f t="array" aca="1" ref="DN8" ca="1">OFFSET(Horarios!$P$3,DJ8-1,0,DL8,1)</f>
        <v>1</v>
      </c>
      <c r="DO8" s="16"/>
      <c r="DP8" s="16" t="s">
        <v>90</v>
      </c>
      <c r="DQ8" s="16" t="str">
        <f t="shared" ca="1" si="47"/>
        <v>South Korea</v>
      </c>
    </row>
    <row r="9" spans="1:121" ht="15.95" customHeight="1" thickBot="1">
      <c r="A9" s="16"/>
      <c r="B9" s="16"/>
      <c r="C9" s="16"/>
      <c r="D9" s="16" t="str">
        <f t="shared" si="0"/>
        <v>Pendiente</v>
      </c>
      <c r="E9" s="16" t="str">
        <f t="shared" si="1"/>
        <v>-</v>
      </c>
      <c r="F9" s="16" t="str">
        <f t="shared" si="2"/>
        <v>-</v>
      </c>
      <c r="G9" s="16"/>
      <c r="H9" s="16" t="str">
        <f t="shared" si="3"/>
        <v>-</v>
      </c>
      <c r="I9" s="16" t="str">
        <f t="shared" si="4"/>
        <v>-</v>
      </c>
      <c r="J9" s="16"/>
      <c r="K9" s="16" t="str">
        <f t="shared" si="5"/>
        <v>-</v>
      </c>
      <c r="L9" s="16" t="str">
        <f t="shared" si="6"/>
        <v>-</v>
      </c>
      <c r="M9" s="16"/>
      <c r="N9" s="16" t="str">
        <f t="shared" si="7"/>
        <v>-</v>
      </c>
      <c r="O9" s="16" t="str">
        <f t="shared" si="8"/>
        <v>-</v>
      </c>
      <c r="P9" s="16"/>
      <c r="Q9" s="16" t="str">
        <f t="shared" si="9"/>
        <v>-</v>
      </c>
      <c r="R9" s="16" t="str">
        <f t="shared" si="10"/>
        <v>-</v>
      </c>
      <c r="S9" s="16"/>
      <c r="T9" s="16" t="str">
        <f t="shared" si="11"/>
        <v>-</v>
      </c>
      <c r="U9" s="16" t="str">
        <f t="shared" si="12"/>
        <v>-</v>
      </c>
      <c r="V9" s="17"/>
      <c r="W9" s="639"/>
      <c r="X9" s="28">
        <f ca="1">Horarios!C9</f>
        <v>46198.125</v>
      </c>
      <c r="Y9" s="29">
        <f ca="1">Horarios!C9</f>
        <v>46198.125</v>
      </c>
      <c r="Z9" s="30" t="str">
        <f>$Z$8</f>
        <v>R3</v>
      </c>
      <c r="AA9" s="31" t="str">
        <f ca="1">A6</f>
        <v>South Africa</v>
      </c>
      <c r="AB9" s="52" t="e" cm="1" vm="2">
        <f t="array" aca="1" ref="AB9" ca="1">Ver_flag_local</f>
        <v>#VALUE!</v>
      </c>
      <c r="AC9" s="53"/>
      <c r="AD9" s="54"/>
      <c r="AE9" s="596" t="e" cm="1" vm="3">
        <f t="array" aca="1" ref="AE9" ca="1">Ver_flag_visit</f>
        <v>#VALUE!</v>
      </c>
      <c r="AF9" s="33" t="str">
        <f ca="1">A7</f>
        <v>South Korea</v>
      </c>
      <c r="AG9" s="323">
        <f t="shared" si="13"/>
        <v>0</v>
      </c>
      <c r="AH9" s="195">
        <v>54</v>
      </c>
      <c r="AI9" s="181" t="str">
        <f>AJ9&amp;$B$4</f>
        <v>4A</v>
      </c>
      <c r="AJ9" s="44">
        <v>4</v>
      </c>
      <c r="AK9" s="599" t="e" cm="1" vm="4">
        <f t="array" aca="1" ref="AK9" ca="1">Ver_flag_visit</f>
        <v>#VALUE!</v>
      </c>
      <c r="AL9" s="45" t="str">
        <f ca="1">IFERROR(INDEX($BD$6:$BD$53,MATCH(AI9,$BN$6:$BN$53,0)),"")</f>
        <v>Czech Republic</v>
      </c>
      <c r="AM9" s="46">
        <f t="shared" ca="1" si="15"/>
        <v>0</v>
      </c>
      <c r="AN9" s="47">
        <f t="shared" ca="1" si="15"/>
        <v>0</v>
      </c>
      <c r="AO9" s="47">
        <f t="shared" ca="1" si="15"/>
        <v>0</v>
      </c>
      <c r="AP9" s="47">
        <f t="shared" ca="1" si="15"/>
        <v>0</v>
      </c>
      <c r="AQ9" s="47">
        <f t="shared" ca="1" si="15"/>
        <v>0</v>
      </c>
      <c r="AR9" s="47">
        <f t="shared" ca="1" si="15"/>
        <v>0</v>
      </c>
      <c r="AS9" s="47">
        <f t="shared" ca="1" si="15"/>
        <v>0</v>
      </c>
      <c r="AT9" s="48">
        <f t="shared" ca="1" si="15"/>
        <v>0</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0</v>
      </c>
      <c r="BF9" s="16">
        <f t="shared" ca="1" si="41"/>
        <v>0</v>
      </c>
      <c r="BG9" s="16">
        <f t="shared" ca="1" si="17"/>
        <v>0</v>
      </c>
      <c r="BH9" s="16">
        <f t="shared" ca="1" si="18"/>
        <v>0</v>
      </c>
      <c r="BI9" s="16">
        <f t="shared" ca="1" si="19"/>
        <v>0</v>
      </c>
      <c r="BJ9" s="16">
        <f t="shared" ca="1" si="20"/>
        <v>0</v>
      </c>
      <c r="BK9" s="16">
        <f t="shared" ca="1" si="21"/>
        <v>0</v>
      </c>
      <c r="BL9" s="16">
        <f t="shared" ca="1" si="42"/>
        <v>0</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(4)</v>
      </c>
      <c r="BU9" s="16">
        <f t="shared" ca="1" si="24"/>
        <v>0</v>
      </c>
      <c r="BV9" s="16">
        <f t="shared" ca="1" si="25"/>
        <v>0</v>
      </c>
      <c r="BW9" s="16">
        <f t="shared" ca="1" si="26"/>
        <v>0</v>
      </c>
      <c r="BX9" s="16">
        <f ca="1">IF($BT9="-","-",BU9*3+BV9)</f>
        <v>0</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(4)</v>
      </c>
      <c r="CA9" s="16">
        <f t="shared" ca="1" si="27"/>
        <v>0</v>
      </c>
      <c r="CB9" s="16">
        <f t="shared" ca="1" si="28"/>
        <v>0</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(4)</v>
      </c>
      <c r="CF9" s="16">
        <f t="shared" ca="1" si="29"/>
        <v>0</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(4)</v>
      </c>
      <c r="CI9" s="16">
        <f t="shared" ca="1" si="30"/>
        <v>0</v>
      </c>
      <c r="CJ9" s="16">
        <f t="shared" ca="1" si="31"/>
        <v>0</v>
      </c>
      <c r="CK9" s="16">
        <f t="shared" ca="1" si="32"/>
        <v>0</v>
      </c>
      <c r="CL9" s="16">
        <f ca="1">IF($CH9="-","-",CI9*3+CJ9)</f>
        <v>0</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(4)</v>
      </c>
      <c r="CO9" s="16">
        <f t="shared" ca="1" si="33"/>
        <v>0</v>
      </c>
      <c r="CP9" s="16">
        <f t="shared" ca="1" si="34"/>
        <v>0</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(4)</v>
      </c>
      <c r="CT9" s="16">
        <f t="shared" ca="1" si="35"/>
        <v>0</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(4)</v>
      </c>
      <c r="CW9" s="16">
        <f t="shared" ca="1" si="36"/>
        <v>0</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(4)</v>
      </c>
      <c r="CZ9" s="16">
        <f t="shared" ca="1" si="37"/>
        <v>0</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(4)</v>
      </c>
      <c r="DC9" s="16">
        <f ca="1">IF(DB9="-","-",COUNTIFS(T_Equipos[Rank],"&lt;"&amp;INDEX(T_Equipos[Rank],MATCH(BD9,T_Equipos[NombreEquipo],0)),$BC$6:$BC$53,INDEX(T_Equipos[Grupo],MATCH(BD9,T_Equipos[NombreEquipo],0)))+1)</f>
        <v>4</v>
      </c>
      <c r="DD9" s="16">
        <f ca="1">DA9+COUNTIFS($DB$6:$DB$53,DB9,$DC$6:DC$53,"&lt;"&amp;DC9,$BC$6:$BC$53,INDEX(T_Equipos[Grupo],MATCH(BD9,T_Equipos[NombreEquipo],0)))</f>
        <v>4</v>
      </c>
      <c r="DE9" s="16"/>
      <c r="DF9" s="16">
        <f t="shared" ca="1" si="45"/>
        <v>4</v>
      </c>
      <c r="DG9" s="16">
        <f ca="1">IF(DB9="-","-",COUNTIFS(DF$6:DF$53,"&lt;"&amp;DF9,$BC$6:$BC$53,INDEX(T_Equipos[Grupo],MATCH(BD9,T_Equipos[NombreEquipo],0))))</f>
        <v>3</v>
      </c>
      <c r="DH9" s="16">
        <f ca="1">DA9+COUNTIFS(DB$6:DB$53,DB9,DG$6:DG$53,"&lt;"&amp;DG9,$BC$6:$BC$53,INDEX(T_Equipos[Grupo],MATCH(BD9,T_Equipos[NombreEquipo],0)))</f>
        <v>4</v>
      </c>
      <c r="DI9" s="16"/>
      <c r="DJ9" s="16">
        <f t="shared" ca="1" si="38"/>
        <v>1</v>
      </c>
      <c r="DK9" s="16">
        <f t="shared" ca="1" si="39"/>
        <v>0</v>
      </c>
      <c r="DL9" s="16">
        <f t="shared" ca="1" si="40"/>
        <v>1</v>
      </c>
      <c r="DM9" s="16" t="str">
        <f t="shared" ca="1" si="46"/>
        <v>1.1</v>
      </c>
      <c r="DN9" s="16" cm="1">
        <f t="array" aca="1" ref="DN9" ca="1">OFFSET(Horarios!$P$3,DJ9-1,0,DL9,1)</f>
        <v>1</v>
      </c>
      <c r="DO9" s="16"/>
      <c r="DP9" s="16" t="s">
        <v>659</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0</v>
      </c>
      <c r="BF10" s="16">
        <f t="shared" ca="1" si="41"/>
        <v>0</v>
      </c>
      <c r="BG10" s="16">
        <f t="shared" ca="1" si="17"/>
        <v>0</v>
      </c>
      <c r="BH10" s="16">
        <f t="shared" ca="1" si="18"/>
        <v>0</v>
      </c>
      <c r="BI10" s="16">
        <f t="shared" ca="1" si="19"/>
        <v>0</v>
      </c>
      <c r="BJ10" s="16">
        <f t="shared" ca="1" si="20"/>
        <v>0</v>
      </c>
      <c r="BK10" s="16">
        <f t="shared" ca="1" si="21"/>
        <v>0</v>
      </c>
      <c r="BL10" s="16">
        <f t="shared" ca="1" si="42"/>
        <v>0</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(4)</v>
      </c>
      <c r="BU10" s="16">
        <f t="shared" ca="1" si="24"/>
        <v>0</v>
      </c>
      <c r="BV10" s="16">
        <f t="shared" ca="1" si="25"/>
        <v>0</v>
      </c>
      <c r="BW10" s="16">
        <f t="shared" ca="1" si="26"/>
        <v>0</v>
      </c>
      <c r="BX10" s="16">
        <f t="shared" ref="BX10:BX53" ca="1" si="48">IF($BT10="-","-",BU10*3+BV10)</f>
        <v>0</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(4)</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(4)</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(4)</v>
      </c>
      <c r="CI10" s="16">
        <f t="shared" ca="1" si="30"/>
        <v>0</v>
      </c>
      <c r="CJ10" s="16">
        <f t="shared" ca="1" si="31"/>
        <v>0</v>
      </c>
      <c r="CK10" s="16">
        <f t="shared" ca="1" si="32"/>
        <v>0</v>
      </c>
      <c r="CL10" s="16">
        <f t="shared" ref="CL10:CL53" ca="1" si="50">IF($CH10="-","-",CI10*3+CJ10)</f>
        <v>0</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(4)</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(4)</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(4)</v>
      </c>
      <c r="CW10" s="16">
        <f t="shared" ca="1" si="36"/>
        <v>0</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(4)</v>
      </c>
      <c r="CZ10" s="16">
        <f t="shared" ca="1" si="37"/>
        <v>0</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(4)</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0</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0</v>
      </c>
      <c r="BG11" s="16">
        <f t="shared" ca="1" si="17"/>
        <v>0</v>
      </c>
      <c r="BH11" s="16">
        <f t="shared" ca="1" si="18"/>
        <v>0</v>
      </c>
      <c r="BI11" s="16">
        <f t="shared" ca="1" si="19"/>
        <v>0</v>
      </c>
      <c r="BJ11" s="16">
        <f t="shared" ca="1" si="20"/>
        <v>0</v>
      </c>
      <c r="BK11" s="16">
        <f t="shared" ca="1" si="21"/>
        <v>0</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(4)</v>
      </c>
      <c r="BU11" s="16">
        <f t="shared" ca="1" si="24"/>
        <v>0</v>
      </c>
      <c r="BV11" s="16">
        <f t="shared" ca="1" si="25"/>
        <v>0</v>
      </c>
      <c r="BW11" s="16">
        <f t="shared" ca="1" si="26"/>
        <v>0</v>
      </c>
      <c r="BX11" s="16">
        <f t="shared" ca="1" si="48"/>
        <v>0</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(4)</v>
      </c>
      <c r="CA11" s="16">
        <f t="shared" ca="1" si="27"/>
        <v>0</v>
      </c>
      <c r="CB11" s="16">
        <f t="shared" ca="1" si="28"/>
        <v>0</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(4)</v>
      </c>
      <c r="CF11" s="16">
        <f t="shared" ca="1" si="29"/>
        <v>0</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(4)</v>
      </c>
      <c r="CI11" s="16">
        <f t="shared" ca="1" si="30"/>
        <v>0</v>
      </c>
      <c r="CJ11" s="16">
        <f t="shared" ca="1" si="31"/>
        <v>0</v>
      </c>
      <c r="CK11" s="16">
        <f t="shared" ca="1" si="32"/>
        <v>0</v>
      </c>
      <c r="CL11" s="16">
        <f t="shared" ca="1" si="50"/>
        <v>0</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(4)</v>
      </c>
      <c r="CO11" s="16">
        <f t="shared" ca="1" si="33"/>
        <v>0</v>
      </c>
      <c r="CP11" s="16">
        <f t="shared" ca="1" si="34"/>
        <v>0</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(4)</v>
      </c>
      <c r="CT11" s="16">
        <f t="shared" ca="1" si="35"/>
        <v>0</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(4)</v>
      </c>
      <c r="CW11" s="16">
        <f t="shared" ca="1" si="36"/>
        <v>0</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(4)</v>
      </c>
      <c r="CZ11" s="16">
        <f t="shared" ca="1" si="37"/>
        <v>0</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(4)</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2</v>
      </c>
      <c r="DE11" s="16"/>
      <c r="DF11" s="16">
        <f t="shared" ca="1" si="52"/>
        <v>2</v>
      </c>
      <c r="DG11" s="16">
        <f ca="1">IF(DB11="-","-",COUNTIFS(DF$6:DF$53,"&lt;"&amp;DF11,$BC$6:$BC$53,INDEX(T_Equipos[Grupo],MATCH(BD11,T_Equipos[NombreEquipo],0))))</f>
        <v>1</v>
      </c>
      <c r="DH11" s="16">
        <f ca="1">DA11+COUNTIFS(DB$6:DB$53,DB11,DG$6:DG$53,"&lt;"&amp;DG11,$BC$6:$BC$53,INDEX(T_Equipos[Grupo],MATCH(BD11,T_Equipos[NombreEquipo],0)))</f>
        <v>2</v>
      </c>
      <c r="DI11" s="16"/>
      <c r="DJ11" s="16">
        <f t="shared" ca="1" si="38"/>
        <v>1</v>
      </c>
      <c r="DK11" s="16">
        <f t="shared" ca="1" si="39"/>
        <v>0</v>
      </c>
      <c r="DL11" s="16">
        <f t="shared" ca="1" si="40"/>
        <v>1</v>
      </c>
      <c r="DM11" s="16" t="str">
        <f t="shared" ca="1" si="46"/>
        <v>1.1</v>
      </c>
      <c r="DN11" s="16" cm="1">
        <f t="array" aca="1" ref="DN11" ca="1">OFFSET(Horarios!$P$3,DJ11-1,0,DL11,1)</f>
        <v>1</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Pendiente</v>
      </c>
      <c r="E12" s="16" t="str">
        <f t="shared" ref="E12:E17" si="54">IF(D12="Pendiente","-",INDEX($BT$6:$BT$53,MATCH($AA12,$BD$6:$BD$53,0)))</f>
        <v>-</v>
      </c>
      <c r="F12" s="16" t="str">
        <f t="shared" ref="F12:F17" si="55">IF(D12="Pendiente","-",INDEX($BT$6:$BT$53,MATCH($AF12,$BD$6:$BD$53,0)))</f>
        <v>-</v>
      </c>
      <c r="G12" s="16"/>
      <c r="H12" s="16" t="str">
        <f t="shared" ref="H12:H17" si="56">IF(D12="Pendiente","-",INDEX($BZ$6:$BZ$53,MATCH($AA12,$BD$6:$BD$53,0)))</f>
        <v>-</v>
      </c>
      <c r="I12" s="16" t="str">
        <f t="shared" ref="I12:I17" si="57">IF(D12="Pendiente","-",INDEX($BZ$6:$BZ$53,MATCH($AF12,$BD$6:$BD$53,0)))</f>
        <v>-</v>
      </c>
      <c r="J12" s="16"/>
      <c r="K12" s="16" t="str">
        <f t="shared" ref="K12:K17" si="58">IF(D12="Pendiente","-",INDEX($CE$6:$CE$53,MATCH($AA12,$BD$6:$BD$53,0)))</f>
        <v>-</v>
      </c>
      <c r="L12" s="16" t="str">
        <f t="shared" ref="L12:L17" si="59">IF(D12="Pendiente","-",INDEX($CE$6:$CE$53,MATCH($AF12,$BD$6:$BD$53,0)))</f>
        <v>-</v>
      </c>
      <c r="M12" s="16"/>
      <c r="N12" s="16" t="str">
        <f t="shared" ref="N12:N17" si="60">IF(D12="Pendiente","-",INDEX($CH$6:$CH$53,MATCH($AA12,$BD$6:$BD$53,0)))</f>
        <v>-</v>
      </c>
      <c r="O12" s="16" t="str">
        <f t="shared" ref="O12:O17" si="61">IF(D12="Pendiente","-",INDEX($CH$6:$CH$53,MATCH($AF12,$BD$6:$BD$53,0)))</f>
        <v>-</v>
      </c>
      <c r="P12" s="16"/>
      <c r="Q12" s="16" t="str">
        <f t="shared" ref="Q12:Q17" si="62">IF(D12="Pendiente","-",INDEX($CN$6:$CN$53,MATCH($AA12,$BD$6:$BD$53,0)))</f>
        <v>-</v>
      </c>
      <c r="R12" s="16" t="str">
        <f t="shared" ref="R12:R17" si="63">IF(D12="Pendiente","-",INDEX($CN$6:$CN$53,MATCH($AF12,$BD$6:$BD$53,0)))</f>
        <v>-</v>
      </c>
      <c r="S12" s="16"/>
      <c r="T12" s="16" t="str">
        <f t="shared" ref="T12:T17" si="64">IF(D12="Pendiente","-",INDEX($CS$6:$CS$53,MATCH($AA12,$BD$6:$BD$53,0)))</f>
        <v>-</v>
      </c>
      <c r="U12" s="16" t="str">
        <f t="shared" ref="U12:U17" si="65">IF(D12="Pendiente","-",INDEX($CS$6:$CS$53,MATCH($AF12,$BD$6:$BD$53,0)))</f>
        <v>-</v>
      </c>
      <c r="V12" s="17"/>
      <c r="W12" s="640" t="s">
        <v>1</v>
      </c>
      <c r="X12" s="24">
        <f ca="1">Horarios!C12</f>
        <v>46185.875</v>
      </c>
      <c r="Y12" s="25">
        <f ca="1">Horarios!C12</f>
        <v>46185.875</v>
      </c>
      <c r="Z12" s="26" t="str">
        <f>$Z$4</f>
        <v>R1</v>
      </c>
      <c r="AA12" s="27" t="str">
        <f ca="1">A13</f>
        <v>Canada</v>
      </c>
      <c r="AB12" s="49" t="e" cm="1" vm="5">
        <f t="array" aca="1" ref="AB12" ca="1">Ver_flag_local</f>
        <v>#VALUE!</v>
      </c>
      <c r="AC12" s="50"/>
      <c r="AD12" s="51"/>
      <c r="AE12" s="595" t="e" cm="1" vm="6">
        <f t="array" aca="1" ref="AE12" ca="1">Ver_flag_visit</f>
        <v>#VALUE!</v>
      </c>
      <c r="AF12" s="32" t="str">
        <f ca="1">A14</f>
        <v>Bosnia and Herzegovina</v>
      </c>
      <c r="AG12" s="323">
        <f t="shared" ref="AG12:AG17" si="66">IF(NOT(OR(ISBLANK(AC12),ISBLANK(AD12))),1,0)</f>
        <v>0</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0</v>
      </c>
      <c r="BG12" s="16">
        <f t="shared" ca="1" si="17"/>
        <v>0</v>
      </c>
      <c r="BH12" s="16">
        <f t="shared" ca="1" si="18"/>
        <v>0</v>
      </c>
      <c r="BI12" s="16">
        <f t="shared" ca="1" si="19"/>
        <v>0</v>
      </c>
      <c r="BJ12" s="16">
        <f t="shared" ca="1" si="20"/>
        <v>0</v>
      </c>
      <c r="BK12" s="16">
        <f t="shared" ca="1" si="21"/>
        <v>0</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(4)</v>
      </c>
      <c r="BU12" s="16">
        <f t="shared" ca="1" si="24"/>
        <v>0</v>
      </c>
      <c r="BV12" s="16">
        <f t="shared" ca="1" si="25"/>
        <v>0</v>
      </c>
      <c r="BW12" s="16">
        <f t="shared" ca="1" si="26"/>
        <v>0</v>
      </c>
      <c r="BX12" s="16">
        <f t="shared" ca="1" si="48"/>
        <v>0</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P.1 (4)</v>
      </c>
      <c r="CA12" s="16">
        <f t="shared" ca="1" si="27"/>
        <v>0</v>
      </c>
      <c r="CB12" s="16">
        <f t="shared" ca="1" si="28"/>
        <v>0</v>
      </c>
      <c r="CC12" s="16">
        <f t="shared" ca="1" si="49"/>
        <v>0</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P.1 (4)</v>
      </c>
      <c r="CF12" s="16">
        <f t="shared" ca="1" si="29"/>
        <v>0</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P.1 (4)</v>
      </c>
      <c r="CI12" s="16">
        <f t="shared" ca="1" si="30"/>
        <v>0</v>
      </c>
      <c r="CJ12" s="16">
        <f t="shared" ca="1" si="31"/>
        <v>0</v>
      </c>
      <c r="CK12" s="16">
        <f t="shared" ca="1" si="32"/>
        <v>0</v>
      </c>
      <c r="CL12" s="16">
        <f t="shared" ca="1" si="50"/>
        <v>0</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P.1 (4)</v>
      </c>
      <c r="CO12" s="16">
        <f t="shared" ca="1" si="33"/>
        <v>0</v>
      </c>
      <c r="CP12" s="16">
        <f t="shared" ca="1" si="34"/>
        <v>0</v>
      </c>
      <c r="CQ12" s="16">
        <f t="shared" ca="1" si="51"/>
        <v>0</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P.1 (4)</v>
      </c>
      <c r="CT12" s="16">
        <f t="shared" ca="1" si="35"/>
        <v>0</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P.1 (4)</v>
      </c>
      <c r="CW12" s="16">
        <f t="shared" ca="1" si="36"/>
        <v>0</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P.1 (4)</v>
      </c>
      <c r="CZ12" s="16">
        <f t="shared" ca="1" si="37"/>
        <v>0</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P.1 (4)</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3</v>
      </c>
      <c r="DE12" s="16"/>
      <c r="DF12" s="16">
        <f t="shared" ca="1" si="52"/>
        <v>3</v>
      </c>
      <c r="DG12" s="16">
        <f ca="1">IF(DB12="-","-",COUNTIFS(DF$6:DF$53,"&lt;"&amp;DF12,$BC$6:$BC$53,INDEX(T_Equipos[Grupo],MATCH(BD12,T_Equipos[NombreEquipo],0))))</f>
        <v>2</v>
      </c>
      <c r="DH12" s="16">
        <f ca="1">DA12+COUNTIFS(DB$6:DB$53,DB12,DG$6:DG$53,"&lt;"&amp;DG12,$BC$6:$BC$53,INDEX(T_Equipos[Grupo],MATCH(BD12,T_Equipos[NombreEquipo],0)))</f>
        <v>3</v>
      </c>
      <c r="DI12" s="16"/>
      <c r="DJ12" s="16">
        <f t="shared" ca="1" si="38"/>
        <v>1</v>
      </c>
      <c r="DK12" s="16">
        <f t="shared" ca="1" si="39"/>
        <v>0</v>
      </c>
      <c r="DL12" s="16">
        <f t="shared" ca="1" si="40"/>
        <v>1</v>
      </c>
      <c r="DM12" s="16" t="str">
        <f t="shared" ca="1" si="46"/>
        <v>1.1</v>
      </c>
      <c r="DN12" s="16" cm="1">
        <f t="array" aca="1" ref="DN12" ca="1">OFFSET(Horarios!$P$3,DJ12-1,0,DL12,1)</f>
        <v>1</v>
      </c>
      <c r="DO12" s="16"/>
      <c r="DP12" s="16" t="s">
        <v>91</v>
      </c>
      <c r="DQ12" s="16" t="str">
        <f t="shared" ca="1" si="47"/>
        <v>Qatar</v>
      </c>
    </row>
    <row r="13" spans="1:121" ht="15.95" customHeight="1">
      <c r="A13" s="16" t="str">
        <f ca="1">+Equipos!B6</f>
        <v>Canada</v>
      </c>
      <c r="B13" s="16"/>
      <c r="C13" s="16"/>
      <c r="D13" s="16" t="str">
        <f t="shared" si="53"/>
        <v>Pendiente</v>
      </c>
      <c r="E13" s="16" t="str">
        <f t="shared" si="54"/>
        <v>-</v>
      </c>
      <c r="F13" s="16" t="str">
        <f t="shared" si="55"/>
        <v>-</v>
      </c>
      <c r="G13" s="16"/>
      <c r="H13" s="16" t="str">
        <f t="shared" si="56"/>
        <v>-</v>
      </c>
      <c r="I13" s="16" t="str">
        <f t="shared" si="57"/>
        <v>-</v>
      </c>
      <c r="J13" s="16"/>
      <c r="K13" s="16" t="str">
        <f t="shared" si="58"/>
        <v>-</v>
      </c>
      <c r="L13" s="16" t="str">
        <f t="shared" si="59"/>
        <v>-</v>
      </c>
      <c r="M13" s="16"/>
      <c r="N13" s="16" t="str">
        <f t="shared" si="60"/>
        <v>-</v>
      </c>
      <c r="O13" s="16" t="str">
        <f t="shared" si="61"/>
        <v>-</v>
      </c>
      <c r="P13" s="16"/>
      <c r="Q13" s="16" t="str">
        <f t="shared" si="62"/>
        <v>-</v>
      </c>
      <c r="R13" s="16" t="str">
        <f t="shared" si="63"/>
        <v>-</v>
      </c>
      <c r="S13" s="16"/>
      <c r="T13" s="16" t="str">
        <f t="shared" si="64"/>
        <v>-</v>
      </c>
      <c r="U13" s="16" t="str">
        <f t="shared" si="65"/>
        <v>-</v>
      </c>
      <c r="V13" s="17"/>
      <c r="W13" s="640"/>
      <c r="X13" s="24">
        <f ca="1">Horarios!C13</f>
        <v>46186.875</v>
      </c>
      <c r="Y13" s="25">
        <f ca="1">Horarios!C13</f>
        <v>46186.875</v>
      </c>
      <c r="Z13" s="26" t="str">
        <f>$Z$4</f>
        <v>R1</v>
      </c>
      <c r="AA13" s="27" t="str">
        <f ca="1">A15</f>
        <v>Qatar</v>
      </c>
      <c r="AB13" s="49" t="e" cm="1" vm="7">
        <f t="array" aca="1" ref="AB13" ca="1">Ver_flag_local</f>
        <v>#VALUE!</v>
      </c>
      <c r="AC13" s="50"/>
      <c r="AD13" s="51"/>
      <c r="AE13" s="595" t="e" cm="1" vm="8">
        <f t="array" aca="1" ref="AE13" ca="1">Ver_flag_visit</f>
        <v>#VALUE!</v>
      </c>
      <c r="AF13" s="32" t="str">
        <f ca="1">A16</f>
        <v>Switzerland</v>
      </c>
      <c r="AG13" s="323">
        <f t="shared" si="66"/>
        <v>0</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0</v>
      </c>
      <c r="BF13" s="16">
        <f t="shared" ca="1" si="41"/>
        <v>0</v>
      </c>
      <c r="BG13" s="16">
        <f t="shared" ca="1" si="17"/>
        <v>0</v>
      </c>
      <c r="BH13" s="16">
        <f t="shared" ca="1" si="18"/>
        <v>0</v>
      </c>
      <c r="BI13" s="16">
        <f t="shared" ca="1" si="19"/>
        <v>0</v>
      </c>
      <c r="BJ13" s="16">
        <f t="shared" ca="1" si="20"/>
        <v>0</v>
      </c>
      <c r="BK13" s="16">
        <f t="shared" ca="1" si="21"/>
        <v>0</v>
      </c>
      <c r="BL13" s="16">
        <f t="shared" ca="1" si="42"/>
        <v>0</v>
      </c>
      <c r="BM13" s="16" t="str">
        <f t="shared" ca="1" si="22"/>
        <v>4B</v>
      </c>
      <c r="BN13" s="16" t="str">
        <f t="shared" ca="1" si="23"/>
        <v>4B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0</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(4)</v>
      </c>
      <c r="BU13" s="16">
        <f t="shared" ca="1" si="24"/>
        <v>0</v>
      </c>
      <c r="BV13" s="16">
        <f t="shared" ca="1" si="25"/>
        <v>0</v>
      </c>
      <c r="BW13" s="16">
        <f t="shared" ca="1" si="26"/>
        <v>0</v>
      </c>
      <c r="BX13" s="16">
        <f t="shared" ca="1" si="48"/>
        <v>0</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(4)</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(4)</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(4)</v>
      </c>
      <c r="CI13" s="16">
        <f t="shared" ca="1" si="30"/>
        <v>0</v>
      </c>
      <c r="CJ13" s="16">
        <f t="shared" ca="1" si="31"/>
        <v>0</v>
      </c>
      <c r="CK13" s="16">
        <f t="shared" ca="1" si="32"/>
        <v>0</v>
      </c>
      <c r="CL13" s="16">
        <f t="shared" ca="1" si="50"/>
        <v>0</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(4)</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(4)</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(4)</v>
      </c>
      <c r="CW13" s="16">
        <f t="shared" ca="1" si="36"/>
        <v>0</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(4)</v>
      </c>
      <c r="CZ13" s="16">
        <f t="shared" ca="1" si="37"/>
        <v>0</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(4)</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4</v>
      </c>
      <c r="DE13" s="16"/>
      <c r="DF13" s="16">
        <f t="shared" ca="1" si="52"/>
        <v>4</v>
      </c>
      <c r="DG13" s="16">
        <f ca="1">IF(DB13="-","-",COUNTIFS(DF$6:DF$53,"&lt;"&amp;DF13,$BC$6:$BC$53,INDEX(T_Equipos[Grupo],MATCH(BD13,T_Equipos[NombreEquipo],0))))</f>
        <v>3</v>
      </c>
      <c r="DH13" s="16">
        <f ca="1">DA13+COUNTIFS(DB$6:DB$53,DB13,DG$6:DG$53,"&lt;"&amp;DG13,$BC$6:$BC$53,INDEX(T_Equipos[Grupo],MATCH(BD13,T_Equipos[NombreEquipo],0)))</f>
        <v>4</v>
      </c>
      <c r="DI13" s="16"/>
      <c r="DJ13" s="16">
        <f t="shared" ca="1" si="38"/>
        <v>1</v>
      </c>
      <c r="DK13" s="16">
        <f t="shared" ca="1" si="39"/>
        <v>0</v>
      </c>
      <c r="DL13" s="16">
        <f t="shared" ca="1" si="40"/>
        <v>1</v>
      </c>
      <c r="DM13" s="16" t="str">
        <f t="shared" ca="1" si="46"/>
        <v>1.1</v>
      </c>
      <c r="DN13" s="16" cm="1">
        <f t="array" aca="1" ref="DN13" ca="1">OFFSET(Horarios!$P$3,DJ13-1,0,DL13,1)</f>
        <v>1</v>
      </c>
      <c r="DO13" s="16"/>
      <c r="DP13" s="16" t="s">
        <v>662</v>
      </c>
      <c r="DQ13" s="16" t="str">
        <f t="shared" ca="1" si="47"/>
        <v>Switzerland</v>
      </c>
    </row>
    <row r="14" spans="1:121" ht="15.95" customHeight="1">
      <c r="A14" s="16" t="str">
        <f ca="1">+Equipos!B7</f>
        <v>Bosnia and Herzegovina</v>
      </c>
      <c r="B14" s="16"/>
      <c r="C14" s="16"/>
      <c r="D14" s="16" t="str">
        <f t="shared" si="53"/>
        <v>Pendiente</v>
      </c>
      <c r="E14" s="16" t="str">
        <f t="shared" si="54"/>
        <v>-</v>
      </c>
      <c r="F14" s="16" t="str">
        <f t="shared" si="55"/>
        <v>-</v>
      </c>
      <c r="G14" s="16"/>
      <c r="H14" s="16" t="str">
        <f t="shared" si="56"/>
        <v>-</v>
      </c>
      <c r="I14" s="16" t="str">
        <f t="shared" si="57"/>
        <v>-</v>
      </c>
      <c r="J14" s="16"/>
      <c r="K14" s="16" t="str">
        <f t="shared" si="58"/>
        <v>-</v>
      </c>
      <c r="L14" s="16" t="str">
        <f t="shared" si="59"/>
        <v>-</v>
      </c>
      <c r="M14" s="16"/>
      <c r="N14" s="16" t="str">
        <f t="shared" si="60"/>
        <v>-</v>
      </c>
      <c r="O14" s="16" t="str">
        <f t="shared" si="61"/>
        <v>-</v>
      </c>
      <c r="P14" s="16"/>
      <c r="Q14" s="16" t="str">
        <f t="shared" si="62"/>
        <v>-</v>
      </c>
      <c r="R14" s="16" t="str">
        <f t="shared" si="63"/>
        <v>-</v>
      </c>
      <c r="S14" s="16"/>
      <c r="T14" s="16" t="str">
        <f t="shared" si="64"/>
        <v>-</v>
      </c>
      <c r="U14" s="16" t="str">
        <f t="shared" si="65"/>
        <v>-</v>
      </c>
      <c r="V14" s="17"/>
      <c r="W14" s="640"/>
      <c r="X14" s="24">
        <f ca="1">Horarios!C14</f>
        <v>46191.875</v>
      </c>
      <c r="Y14" s="25">
        <f ca="1">Horarios!C14</f>
        <v>46191.875</v>
      </c>
      <c r="Z14" s="26" t="str">
        <f>$Z$6</f>
        <v>R2</v>
      </c>
      <c r="AA14" s="27" t="str">
        <f ca="1">A16</f>
        <v>Switzerland</v>
      </c>
      <c r="AB14" s="49" t="e" cm="1" vm="8">
        <f t="array" aca="1" ref="AB14" ca="1">Ver_flag_local</f>
        <v>#VALUE!</v>
      </c>
      <c r="AC14" s="50"/>
      <c r="AD14" s="51"/>
      <c r="AE14" s="595" t="e" cm="1" vm="6">
        <f t="array" aca="1" ref="AE14" ca="1">Ver_flag_visit</f>
        <v>#VALUE!</v>
      </c>
      <c r="AF14" s="32" t="str">
        <f ca="1">A14</f>
        <v>Bosnia and Herzegovina</v>
      </c>
      <c r="AG14" s="323">
        <f t="shared" si="66"/>
        <v>0</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0</v>
      </c>
      <c r="AN14" s="36">
        <f t="shared" ca="1" si="69"/>
        <v>0</v>
      </c>
      <c r="AO14" s="36">
        <f t="shared" ca="1" si="69"/>
        <v>0</v>
      </c>
      <c r="AP14" s="36">
        <f t="shared" ca="1" si="69"/>
        <v>0</v>
      </c>
      <c r="AQ14" s="36">
        <f t="shared" ca="1" si="69"/>
        <v>0</v>
      </c>
      <c r="AR14" s="36">
        <f t="shared" ca="1" si="69"/>
        <v>0</v>
      </c>
      <c r="AS14" s="36">
        <f t="shared" ca="1" si="69"/>
        <v>0</v>
      </c>
      <c r="AT14" s="72">
        <f t="shared" ca="1" si="69"/>
        <v>0</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0</v>
      </c>
      <c r="BF14" s="16">
        <f t="shared" ca="1" si="41"/>
        <v>0</v>
      </c>
      <c r="BG14" s="16">
        <f t="shared" ca="1" si="17"/>
        <v>0</v>
      </c>
      <c r="BH14" s="16">
        <f t="shared" ca="1" si="18"/>
        <v>0</v>
      </c>
      <c r="BI14" s="16">
        <f t="shared" ca="1" si="19"/>
        <v>0</v>
      </c>
      <c r="BJ14" s="16">
        <f t="shared" ca="1" si="20"/>
        <v>0</v>
      </c>
      <c r="BK14" s="16">
        <f t="shared" ca="1" si="21"/>
        <v>0</v>
      </c>
      <c r="BL14" s="16">
        <f t="shared" ca="1" si="42"/>
        <v>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0</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(4)</v>
      </c>
      <c r="BU14" s="16">
        <f t="shared" ca="1" si="24"/>
        <v>0</v>
      </c>
      <c r="BV14" s="16">
        <f t="shared" ca="1" si="25"/>
        <v>0</v>
      </c>
      <c r="BW14" s="16">
        <f t="shared" ca="1" si="26"/>
        <v>0</v>
      </c>
      <c r="BX14" s="16">
        <f t="shared" ca="1" si="48"/>
        <v>0</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(4)</v>
      </c>
      <c r="CA14" s="16">
        <f t="shared" ca="1" si="27"/>
        <v>0</v>
      </c>
      <c r="CB14" s="16">
        <f t="shared" ca="1" si="28"/>
        <v>0</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(4)</v>
      </c>
      <c r="CF14" s="16">
        <f t="shared" ca="1" si="29"/>
        <v>0</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(4)</v>
      </c>
      <c r="CI14" s="16">
        <f t="shared" ca="1" si="30"/>
        <v>0</v>
      </c>
      <c r="CJ14" s="16">
        <f t="shared" ca="1" si="31"/>
        <v>0</v>
      </c>
      <c r="CK14" s="16">
        <f t="shared" ca="1" si="32"/>
        <v>0</v>
      </c>
      <c r="CL14" s="16">
        <f t="shared" ca="1" si="50"/>
        <v>0</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(4)</v>
      </c>
      <c r="CO14" s="16">
        <f t="shared" ca="1" si="33"/>
        <v>0</v>
      </c>
      <c r="CP14" s="16">
        <f t="shared" ca="1" si="34"/>
        <v>0</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(4)</v>
      </c>
      <c r="CT14" s="16">
        <f t="shared" ca="1" si="35"/>
        <v>0</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(4)</v>
      </c>
      <c r="CW14" s="16">
        <f t="shared" ca="1" si="36"/>
        <v>0</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(4)</v>
      </c>
      <c r="CZ14" s="16">
        <f t="shared" ca="1" si="37"/>
        <v>0</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(4)</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0</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Pendiente</v>
      </c>
      <c r="E15" s="16" t="str">
        <f t="shared" si="54"/>
        <v>-</v>
      </c>
      <c r="F15" s="16" t="str">
        <f t="shared" si="55"/>
        <v>-</v>
      </c>
      <c r="G15" s="16"/>
      <c r="H15" s="16" t="str">
        <f t="shared" si="56"/>
        <v>-</v>
      </c>
      <c r="I15" s="16" t="str">
        <f t="shared" si="57"/>
        <v>-</v>
      </c>
      <c r="J15" s="16"/>
      <c r="K15" s="16" t="str">
        <f t="shared" si="58"/>
        <v>-</v>
      </c>
      <c r="L15" s="16" t="str">
        <f t="shared" si="59"/>
        <v>-</v>
      </c>
      <c r="M15" s="16"/>
      <c r="N15" s="16" t="str">
        <f t="shared" si="60"/>
        <v>-</v>
      </c>
      <c r="O15" s="16" t="str">
        <f t="shared" si="61"/>
        <v>-</v>
      </c>
      <c r="P15" s="16"/>
      <c r="Q15" s="16" t="str">
        <f t="shared" si="62"/>
        <v>-</v>
      </c>
      <c r="R15" s="16" t="str">
        <f t="shared" si="63"/>
        <v>-</v>
      </c>
      <c r="S15" s="16"/>
      <c r="T15" s="16" t="str">
        <f t="shared" si="64"/>
        <v>-</v>
      </c>
      <c r="U15" s="16" t="str">
        <f t="shared" si="65"/>
        <v>-</v>
      </c>
      <c r="V15" s="17"/>
      <c r="W15" s="640"/>
      <c r="X15" s="24">
        <f ca="1">Horarios!C15</f>
        <v>46192</v>
      </c>
      <c r="Y15" s="25">
        <f ca="1">Horarios!C15</f>
        <v>46192</v>
      </c>
      <c r="Z15" s="26" t="str">
        <f>$Z$6</f>
        <v>R2</v>
      </c>
      <c r="AA15" s="27" t="str">
        <f ca="1">A13</f>
        <v>Canada</v>
      </c>
      <c r="AB15" s="49" t="e" cm="1" vm="5">
        <f t="array" aca="1" ref="AB15" ca="1">Ver_flag_local</f>
        <v>#VALUE!</v>
      </c>
      <c r="AC15" s="50"/>
      <c r="AD15" s="51"/>
      <c r="AE15" s="595" t="e" cm="1" vm="7">
        <f t="array" aca="1" ref="AE15" ca="1">Ver_flag_visit</f>
        <v>#VALUE!</v>
      </c>
      <c r="AF15" s="32" t="str">
        <f ca="1">A15</f>
        <v>Qatar</v>
      </c>
      <c r="AG15" s="323">
        <f t="shared" si="66"/>
        <v>0</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0</v>
      </c>
      <c r="AN15" s="39">
        <f t="shared" ca="1" si="69"/>
        <v>0</v>
      </c>
      <c r="AO15" s="39">
        <f t="shared" ca="1" si="69"/>
        <v>0</v>
      </c>
      <c r="AP15" s="39">
        <f t="shared" ca="1" si="69"/>
        <v>0</v>
      </c>
      <c r="AQ15" s="39">
        <f t="shared" ca="1" si="69"/>
        <v>0</v>
      </c>
      <c r="AR15" s="39">
        <f t="shared" ca="1" si="69"/>
        <v>0</v>
      </c>
      <c r="AS15" s="39">
        <f t="shared" ca="1" si="69"/>
        <v>0</v>
      </c>
      <c r="AT15" s="74">
        <f t="shared" ca="1" si="69"/>
        <v>0</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0</v>
      </c>
      <c r="BF15" s="16">
        <f t="shared" ca="1" si="41"/>
        <v>0</v>
      </c>
      <c r="BG15" s="16">
        <f t="shared" ca="1" si="17"/>
        <v>0</v>
      </c>
      <c r="BH15" s="16">
        <f t="shared" ca="1" si="18"/>
        <v>0</v>
      </c>
      <c r="BI15" s="16">
        <f t="shared" ca="1" si="19"/>
        <v>0</v>
      </c>
      <c r="BJ15" s="16">
        <f t="shared" ca="1" si="20"/>
        <v>0</v>
      </c>
      <c r="BK15" s="16">
        <f t="shared" ca="1" si="21"/>
        <v>0</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0</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(4)</v>
      </c>
      <c r="BU15" s="16">
        <f t="shared" ca="1" si="24"/>
        <v>0</v>
      </c>
      <c r="BV15" s="16">
        <f t="shared" ca="1" si="25"/>
        <v>0</v>
      </c>
      <c r="BW15" s="16">
        <f t="shared" ca="1" si="26"/>
        <v>0</v>
      </c>
      <c r="BX15" s="16">
        <f t="shared" ca="1" si="48"/>
        <v>0</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(4)</v>
      </c>
      <c r="CA15" s="16">
        <f t="shared" ca="1" si="27"/>
        <v>0</v>
      </c>
      <c r="CB15" s="16">
        <f t="shared" ca="1" si="28"/>
        <v>0</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(4)</v>
      </c>
      <c r="CF15" s="16">
        <f t="shared" ca="1" si="29"/>
        <v>0</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(4)</v>
      </c>
      <c r="CI15" s="16">
        <f t="shared" ca="1" si="30"/>
        <v>0</v>
      </c>
      <c r="CJ15" s="16">
        <f t="shared" ca="1" si="31"/>
        <v>0</v>
      </c>
      <c r="CK15" s="16">
        <f t="shared" ca="1" si="32"/>
        <v>0</v>
      </c>
      <c r="CL15" s="16">
        <f t="shared" ca="1" si="50"/>
        <v>0</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(4)</v>
      </c>
      <c r="CO15" s="16">
        <f t="shared" ca="1" si="33"/>
        <v>0</v>
      </c>
      <c r="CP15" s="16">
        <f t="shared" ca="1" si="34"/>
        <v>0</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(4)</v>
      </c>
      <c r="CT15" s="16">
        <f t="shared" ca="1" si="35"/>
        <v>0</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(4)</v>
      </c>
      <c r="CW15" s="16">
        <f t="shared" ca="1" si="36"/>
        <v>0</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(4)</v>
      </c>
      <c r="CZ15" s="16">
        <f t="shared" ca="1" si="37"/>
        <v>0</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(4)</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0</v>
      </c>
      <c r="DL15" s="16">
        <f t="shared" ca="1" si="40"/>
        <v>1</v>
      </c>
      <c r="DM15" s="16" t="str">
        <f t="shared" ca="1" si="46"/>
        <v>1.1</v>
      </c>
      <c r="DN15" s="16" cm="1">
        <f t="array" aca="1" ref="DN15" ca="1">OFFSET(Horarios!$P$3,DJ15-1,0,DL15,1)</f>
        <v>1</v>
      </c>
      <c r="DO15" s="16"/>
      <c r="DP15" s="16" t="s">
        <v>668</v>
      </c>
      <c r="DQ15" s="16" t="str">
        <f t="shared" ca="1" si="47"/>
        <v>Morocco</v>
      </c>
    </row>
    <row r="16" spans="1:121" ht="15.95" customHeight="1">
      <c r="A16" s="16" t="str">
        <f ca="1">+Equipos!B9</f>
        <v>Switzerland</v>
      </c>
      <c r="B16" s="16"/>
      <c r="C16" s="16"/>
      <c r="D16" s="16" t="str">
        <f t="shared" si="53"/>
        <v>Pendiente</v>
      </c>
      <c r="E16" s="16" t="str">
        <f t="shared" si="54"/>
        <v>-</v>
      </c>
      <c r="F16" s="16" t="str">
        <f t="shared" si="55"/>
        <v>-</v>
      </c>
      <c r="G16" s="16"/>
      <c r="H16" s="16" t="str">
        <f t="shared" si="56"/>
        <v>-</v>
      </c>
      <c r="I16" s="16" t="str">
        <f t="shared" si="57"/>
        <v>-</v>
      </c>
      <c r="J16" s="16"/>
      <c r="K16" s="16" t="str">
        <f t="shared" si="58"/>
        <v>-</v>
      </c>
      <c r="L16" s="16" t="str">
        <f t="shared" si="59"/>
        <v>-</v>
      </c>
      <c r="M16" s="16"/>
      <c r="N16" s="16" t="str">
        <f t="shared" si="60"/>
        <v>-</v>
      </c>
      <c r="O16" s="16" t="str">
        <f t="shared" si="61"/>
        <v>-</v>
      </c>
      <c r="P16" s="16"/>
      <c r="Q16" s="16" t="str">
        <f t="shared" si="62"/>
        <v>-</v>
      </c>
      <c r="R16" s="16" t="str">
        <f t="shared" si="63"/>
        <v>-</v>
      </c>
      <c r="S16" s="16"/>
      <c r="T16" s="16" t="str">
        <f t="shared" si="64"/>
        <v>-</v>
      </c>
      <c r="U16" s="16" t="str">
        <f t="shared" si="65"/>
        <v>-</v>
      </c>
      <c r="V16" s="17"/>
      <c r="W16" s="640"/>
      <c r="X16" s="24">
        <f ca="1">Horarios!C16</f>
        <v>46197.875</v>
      </c>
      <c r="Y16" s="25">
        <f ca="1">Horarios!C16</f>
        <v>46197.875</v>
      </c>
      <c r="Z16" s="26" t="str">
        <f>$Z$8</f>
        <v>R3</v>
      </c>
      <c r="AA16" s="27" t="str">
        <f ca="1">A16</f>
        <v>Switzerland</v>
      </c>
      <c r="AB16" s="49" t="e" cm="1" vm="8">
        <f t="array" aca="1" ref="AB16" ca="1">Ver_flag_local</f>
        <v>#VALUE!</v>
      </c>
      <c r="AC16" s="50"/>
      <c r="AD16" s="51"/>
      <c r="AE16" s="595" t="e" cm="1" vm="5">
        <f t="array" aca="1" ref="AE16" ca="1">Ver_flag_visit</f>
        <v>#VALUE!</v>
      </c>
      <c r="AF16" s="32" t="str">
        <f ca="1">A13</f>
        <v>Canada</v>
      </c>
      <c r="AG16" s="323">
        <f t="shared" si="66"/>
        <v>0</v>
      </c>
      <c r="AH16" s="195">
        <v>51</v>
      </c>
      <c r="AI16" s="181" t="str">
        <f t="shared" si="70"/>
        <v>3B</v>
      </c>
      <c r="AJ16" s="73">
        <v>3</v>
      </c>
      <c r="AK16" s="602" t="e" cm="1" vm="7">
        <f t="array" aca="1" ref="AK16" ca="1">Ver_flag_visit</f>
        <v>#VALUE!</v>
      </c>
      <c r="AL16" s="37" t="str">
        <f ca="1">IFERROR(INDEX($BD$6:$BD$53,MATCH(AI16,$BN$6:$BN$53,0)),"")</f>
        <v>Qatar</v>
      </c>
      <c r="AM16" s="38">
        <f t="shared" ca="1" si="69"/>
        <v>0</v>
      </c>
      <c r="AN16" s="39">
        <f t="shared" ca="1" si="69"/>
        <v>0</v>
      </c>
      <c r="AO16" s="39">
        <f t="shared" ca="1" si="69"/>
        <v>0</v>
      </c>
      <c r="AP16" s="39">
        <f t="shared" ca="1" si="69"/>
        <v>0</v>
      </c>
      <c r="AQ16" s="39">
        <f t="shared" ca="1" si="69"/>
        <v>0</v>
      </c>
      <c r="AR16" s="39">
        <f t="shared" ca="1" si="69"/>
        <v>0</v>
      </c>
      <c r="AS16" s="39">
        <f t="shared" ca="1" si="69"/>
        <v>0</v>
      </c>
      <c r="AT16" s="74">
        <f t="shared" ca="1" si="69"/>
        <v>0</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0</v>
      </c>
      <c r="BG16" s="16">
        <f t="shared" ca="1" si="17"/>
        <v>0</v>
      </c>
      <c r="BH16" s="16">
        <f t="shared" ca="1" si="18"/>
        <v>0</v>
      </c>
      <c r="BI16" s="16">
        <f t="shared" ca="1" si="19"/>
        <v>0</v>
      </c>
      <c r="BJ16" s="16">
        <f t="shared" ca="1" si="20"/>
        <v>0</v>
      </c>
      <c r="BK16" s="16">
        <f t="shared" ca="1" si="21"/>
        <v>0</v>
      </c>
      <c r="BL16" s="16">
        <f t="shared" ca="1" si="42"/>
        <v>0</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1</v>
      </c>
      <c r="BT16" s="16" t="str">
        <f ca="1">IF(COUNTIFS($BS$6:$BS$53,BS16,$BC$6:$BC$53,INDEX(T_Equipos[Grupo],MATCH(BD16,T_Equipos[NombreEquipo],0)))=1,"-","P."&amp;BS16&amp;" ("&amp;COUNTIFS($BS$6:$BS$53,BS16,$BC$6:$BC$53,INDEX(T_Equipos[Grupo],MATCH(BD16,T_Equipos[NombreEquipo],0)))&amp;")")</f>
        <v>P.1 (4)</v>
      </c>
      <c r="BU16" s="16">
        <f t="shared" ca="1" si="24"/>
        <v>0</v>
      </c>
      <c r="BV16" s="16">
        <f t="shared" ca="1" si="25"/>
        <v>0</v>
      </c>
      <c r="BW16" s="16">
        <f t="shared" ca="1" si="26"/>
        <v>0</v>
      </c>
      <c r="BX16" s="16">
        <f t="shared" ca="1" si="48"/>
        <v>0</v>
      </c>
      <c r="BY16" s="16">
        <f ca="1">BS16+COUNTIFS($BT$6:$BT$53,BT16,$BX$6:BX$53,"&gt;"&amp;BX16,$BC$6:$BC$53,INDEX(T_Equipos[Grupo],MATCH(BD16,T_Equipos[NombreEquipo],0)))</f>
        <v>1</v>
      </c>
      <c r="BZ16" s="16" t="str">
        <f ca="1">IF(COUNTIFS($BY$6:$BY$53,BY16,$BC$6:$BC$53,INDEX(T_Equipos[Grupo],MATCH(BD16,T_Equipos[NombreEquipo],0)))=1,"-","P."&amp;BY16&amp;" ("&amp;COUNTIFS($BY$6:$BY$53,BY16,$BC$6:$BC$53,INDEX(T_Equipos[Grupo],MATCH(BD16,T_Equipos[NombreEquipo],0)))&amp;")")</f>
        <v>P.1 (4)</v>
      </c>
      <c r="CA16" s="16">
        <f t="shared" ca="1" si="27"/>
        <v>0</v>
      </c>
      <c r="CB16" s="16">
        <f t="shared" ca="1" si="28"/>
        <v>0</v>
      </c>
      <c r="CC16" s="16">
        <f t="shared" ca="1" si="49"/>
        <v>0</v>
      </c>
      <c r="CD16" s="16">
        <f ca="1">BY16+COUNTIFS($BZ$6:$BZ$53,BZ16,$CC$6:CC$53,"&gt;"&amp;CC16,$BC$6:$BC$53,INDEX(T_Equipos[Grupo],MATCH(BD16,T_Equipos[NombreEquipo],0)))</f>
        <v>1</v>
      </c>
      <c r="CE16" s="16" t="str">
        <f ca="1">IF(COUNTIFS($CD$6:$CD$53,CD16,$BC$6:$BC$53,INDEX(T_Equipos[Grupo],MATCH(BD16,T_Equipos[NombreEquipo],0)))=1,"-","P."&amp;CD16&amp;" ("&amp;COUNTIFS($CD$6:$CD$53,CD16,$BC$6:$BC$53,INDEX(T_Equipos[Grupo],MATCH(BD16,T_Equipos[NombreEquipo],0)))&amp;")")</f>
        <v>P.1 (4)</v>
      </c>
      <c r="CF16" s="16">
        <f t="shared" ca="1" si="29"/>
        <v>0</v>
      </c>
      <c r="CG16" s="16">
        <f ca="1">CD16+COUNTIFS($CE$6:$CE$53,CE16,$CF$6:CF$53,"&gt;"&amp;CF16,$BC$6:$BC$53,INDEX(T_Equipos[Grupo],MATCH(BD16,T_Equipos[NombreEquipo],0)))</f>
        <v>1</v>
      </c>
      <c r="CH16" s="16" t="str">
        <f ca="1">IF(COUNTIFS($CG$6:$CG$53,CG16,$BC$6:$BC$53,INDEX(T_Equipos[Grupo],MATCH(BD16,T_Equipos[NombreEquipo],0)))=1,"-","P."&amp;CG16&amp;" ("&amp;COUNTIFS($CG$6:$CG$53,CG16,$BC$6:$BC$53,INDEX(T_Equipos[Grupo],MATCH(BD16,T_Equipos[NombreEquipo],0)))&amp;")")</f>
        <v>P.1 (4)</v>
      </c>
      <c r="CI16" s="16">
        <f t="shared" ca="1" si="30"/>
        <v>0</v>
      </c>
      <c r="CJ16" s="16">
        <f t="shared" ca="1" si="31"/>
        <v>0</v>
      </c>
      <c r="CK16" s="16">
        <f t="shared" ca="1" si="32"/>
        <v>0</v>
      </c>
      <c r="CL16" s="16">
        <f t="shared" ca="1" si="50"/>
        <v>0</v>
      </c>
      <c r="CM16" s="16">
        <f ca="1">CG16+COUNTIFS($CH$6:$CH$53,CH16,$CL$6:CL$53,"&gt;"&amp;CL16,$BC$6:$BC$53,INDEX(T_Equipos[Grupo],MATCH(BD16,T_Equipos[NombreEquipo],0)))</f>
        <v>1</v>
      </c>
      <c r="CN16" s="16" t="str">
        <f ca="1">IF(COUNTIFS($CM$6:$CM$53,CM16,$BC$6:$BC$53,INDEX(T_Equipos[Grupo],MATCH(BD16,T_Equipos[NombreEquipo],0)))=1,"-","P."&amp;CM16&amp;" ("&amp;COUNTIFS($CM$6:$CM$53,CM16,$BC$6:$BC$53,INDEX(T_Equipos[Grupo],MATCH(BD16,T_Equipos[NombreEquipo],0)))&amp;")")</f>
        <v>P.1 (4)</v>
      </c>
      <c r="CO16" s="16">
        <f t="shared" ca="1" si="33"/>
        <v>0</v>
      </c>
      <c r="CP16" s="16">
        <f t="shared" ca="1" si="34"/>
        <v>0</v>
      </c>
      <c r="CQ16" s="16">
        <f t="shared" ca="1" si="51"/>
        <v>0</v>
      </c>
      <c r="CR16" s="16">
        <f ca="1">CM16+COUNTIFS($CN$6:$CN$53,CN16,$CQ$6:CQ$53,"&gt;"&amp;CQ16,$BC$6:$BC$53,INDEX(T_Equipos[Grupo],MATCH(BD16,T_Equipos[NombreEquipo],0)))</f>
        <v>1</v>
      </c>
      <c r="CS16" s="16" t="str">
        <f ca="1">IF(COUNTIFS($CR$6:$CR$53,CR16,$BC$6:$BC$53,INDEX(T_Equipos[Grupo],MATCH(BD16,T_Equipos[NombreEquipo],0)))=1,"-","P."&amp;CR16&amp;" ("&amp;COUNTIFS($CR$6:$CR$53,CR16,$BC$6:$BC$53,INDEX(T_Equipos[Grupo],MATCH(BD16,T_Equipos[NombreEquipo],0)))&amp;")")</f>
        <v>P.1 (4)</v>
      </c>
      <c r="CT16" s="16">
        <f t="shared" ca="1" si="35"/>
        <v>0</v>
      </c>
      <c r="CU16" s="16">
        <f ca="1">CR16+COUNTIFS($CS$6:$CS$53,CS16,$CT$6:CT$53,"&gt;"&amp;CT16,$BC$6:$BC$53,INDEX(T_Equipos[Grupo],MATCH(BD16,T_Equipos[NombreEquipo],0)))</f>
        <v>1</v>
      </c>
      <c r="CV16" s="16" t="str">
        <f ca="1">IF(COUNTIFS($CU$6:$CU$53,CU16,$BC$6:$BC$53,INDEX(T_Equipos[Grupo],MATCH(BD16,T_Equipos[NombreEquipo],0)))=1,"-","P."&amp;CU16&amp;" ("&amp;COUNTIFS($CU$6:$CU$53,CU16,$BC$6:$BC$53,INDEX(T_Equipos[Grupo],MATCH(BD16,T_Equipos[NombreEquipo],0)))&amp;")")</f>
        <v>P.1 (4)</v>
      </c>
      <c r="CW16" s="16">
        <f t="shared" ca="1" si="36"/>
        <v>0</v>
      </c>
      <c r="CX16" s="16">
        <f ca="1">CU16+COUNTIFS($CV$6:$CV$53,CV16,$CW$6:CW$53,"&gt;"&amp;CW16,$BC$6:$BC$53,INDEX(T_Equipos[Grupo],MATCH(BD16,T_Equipos[NombreEquipo],0)))</f>
        <v>1</v>
      </c>
      <c r="CY16" s="16" t="str">
        <f ca="1">IF(COUNTIFS($CX$6:$CX$53,CX16,$BC$6:$BC$53,INDEX(T_Equipos[Grupo],MATCH(BD16,T_Equipos[NombreEquipo],0)))=1,"-","P."&amp;CX16&amp;" ("&amp;COUNTIFS($CX$6:$CX$53,CX16,$BC$6:$BC$53,INDEX(T_Equipos[Grupo],MATCH(BD16,T_Equipos[NombreEquipo],0)))&amp;")")</f>
        <v>P.1 (4)</v>
      </c>
      <c r="CZ16" s="16">
        <f t="shared" ca="1" si="37"/>
        <v>0</v>
      </c>
      <c r="DA16" s="16">
        <f ca="1">CX16+COUNTIFS($CY$6:$CY$53,CY16,$CZ$6:CZ$53,"&gt;"&amp;CZ16,$BC$6:$BC$53,INDEX(T_Equipos[Grupo],MATCH(BD16,T_Equipos[NombreEquipo],0)))</f>
        <v>1</v>
      </c>
      <c r="DB16" s="16" t="str">
        <f ca="1">IF(COUNTIFS($DA$6:$DA$53,DA16,$BC$6:$BC$53,INDEX(T_Equipos[Grupo],MATCH(BD16,T_Equipos[NombreEquipo],0)))=1,"-","P."&amp;DA16&amp;" ("&amp;COUNTIFS($DA$6:$DA$53,DA16,$BC$6:$BC$53,INDEX(T_Equipos[Grupo],MATCH(BD16,T_Equipos[NombreEquipo],0)))&amp;")")</f>
        <v>P.1 (4)</v>
      </c>
      <c r="DC16" s="16">
        <f ca="1">IF(DB16="-","-",COUNTIFS(T_Equipos[Rank],"&lt;"&amp;INDEX(T_Equipos[Rank],MATCH(BD16,T_Equipos[NombreEquipo],0)),$BC$6:$BC$53,INDEX(T_Equipos[Grupo],MATCH(BD16,T_Equipos[NombreEquipo],0)))+1)</f>
        <v>3</v>
      </c>
      <c r="DD16" s="16">
        <f ca="1">DA16+COUNTIFS($DB$6:$DB$53,DB16,$DC$6:DC$53,"&lt;"&amp;DC16,$BC$6:$BC$53,INDEX(T_Equipos[Grupo],MATCH(BD16,T_Equipos[NombreEquipo],0)))</f>
        <v>3</v>
      </c>
      <c r="DE16" s="16"/>
      <c r="DF16" s="16">
        <f t="shared" ca="1" si="52"/>
        <v>3</v>
      </c>
      <c r="DG16" s="16">
        <f ca="1">IF(DB16="-","-",COUNTIFS(DF$6:DF$53,"&lt;"&amp;DF16,$BC$6:$BC$53,INDEX(T_Equipos[Grupo],MATCH(BD16,T_Equipos[NombreEquipo],0))))</f>
        <v>2</v>
      </c>
      <c r="DH16" s="16">
        <f ca="1">DA16+COUNTIFS(DB$6:DB$53,DB16,DG$6:DG$53,"&lt;"&amp;DG16,$BC$6:$BC$53,INDEX(T_Equipos[Grupo],MATCH(BD16,T_Equipos[NombreEquipo],0)))</f>
        <v>3</v>
      </c>
      <c r="DI16" s="16"/>
      <c r="DJ16" s="16">
        <f t="shared" ca="1" si="38"/>
        <v>1</v>
      </c>
      <c r="DK16" s="16">
        <f t="shared" ca="1" si="39"/>
        <v>0</v>
      </c>
      <c r="DL16" s="16">
        <f t="shared" ca="1" si="40"/>
        <v>1</v>
      </c>
      <c r="DM16" s="16" t="str">
        <f t="shared" ca="1" si="46"/>
        <v>1.1</v>
      </c>
      <c r="DN16" s="16" cm="1">
        <f t="array" aca="1" ref="DN16" ca="1">OFFSET(Horarios!$P$3,DJ16-1,0,DL16,1)</f>
        <v>1</v>
      </c>
      <c r="DO16" s="16"/>
      <c r="DP16" s="16" t="s">
        <v>92</v>
      </c>
      <c r="DQ16" s="16" t="str">
        <f t="shared" ca="1" si="47"/>
        <v>Haiti</v>
      </c>
    </row>
    <row r="17" spans="1:121" ht="15.95" customHeight="1" thickBot="1">
      <c r="A17" s="16"/>
      <c r="B17" s="16"/>
      <c r="C17" s="16"/>
      <c r="D17" s="16" t="str">
        <f t="shared" si="53"/>
        <v>Pendiente</v>
      </c>
      <c r="E17" s="16" t="str">
        <f t="shared" si="54"/>
        <v>-</v>
      </c>
      <c r="F17" s="16" t="str">
        <f t="shared" si="55"/>
        <v>-</v>
      </c>
      <c r="G17" s="16"/>
      <c r="H17" s="16" t="str">
        <f t="shared" si="56"/>
        <v>-</v>
      </c>
      <c r="I17" s="16" t="str">
        <f t="shared" si="57"/>
        <v>-</v>
      </c>
      <c r="J17" s="16"/>
      <c r="K17" s="16" t="str">
        <f t="shared" si="58"/>
        <v>-</v>
      </c>
      <c r="L17" s="16" t="str">
        <f t="shared" si="59"/>
        <v>-</v>
      </c>
      <c r="M17" s="16"/>
      <c r="N17" s="16" t="str">
        <f t="shared" si="60"/>
        <v>-</v>
      </c>
      <c r="O17" s="16" t="str">
        <f t="shared" si="61"/>
        <v>-</v>
      </c>
      <c r="P17" s="16"/>
      <c r="Q17" s="16" t="str">
        <f t="shared" si="62"/>
        <v>-</v>
      </c>
      <c r="R17" s="16" t="str">
        <f t="shared" si="63"/>
        <v>-</v>
      </c>
      <c r="S17" s="16"/>
      <c r="T17" s="16" t="str">
        <f t="shared" si="64"/>
        <v>-</v>
      </c>
      <c r="U17" s="16" t="str">
        <f t="shared"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c r="AD17" s="54"/>
      <c r="AE17" s="596" t="e" cm="1" vm="7">
        <f t="array" aca="1" ref="AE17" ca="1">Ver_flag_visit</f>
        <v>#VALUE!</v>
      </c>
      <c r="AF17" s="33" t="str">
        <f ca="1">A15</f>
        <v>Qatar</v>
      </c>
      <c r="AG17" s="323">
        <f t="shared" si="66"/>
        <v>0</v>
      </c>
      <c r="AH17" s="195">
        <v>52</v>
      </c>
      <c r="AI17" s="181" t="str">
        <f t="shared" si="70"/>
        <v>4B</v>
      </c>
      <c r="AJ17" s="75">
        <v>4</v>
      </c>
      <c r="AK17" s="603" t="e" cm="1" vm="8">
        <f t="array" aca="1" ref="AK17" ca="1">Ver_flag_visit</f>
        <v>#VALUE!</v>
      </c>
      <c r="AL17" s="76" t="str">
        <f ca="1">IFERROR(INDEX($BD$6:$BD$53,MATCH(AI17,$BN$6:$BN$53,0)),"")</f>
        <v>Switzerland</v>
      </c>
      <c r="AM17" s="77">
        <f t="shared" ca="1" si="69"/>
        <v>0</v>
      </c>
      <c r="AN17" s="78">
        <f t="shared" ca="1" si="69"/>
        <v>0</v>
      </c>
      <c r="AO17" s="78">
        <f t="shared" ca="1" si="69"/>
        <v>0</v>
      </c>
      <c r="AP17" s="78">
        <f t="shared" ca="1" si="69"/>
        <v>0</v>
      </c>
      <c r="AQ17" s="78">
        <f t="shared" ca="1" si="69"/>
        <v>0</v>
      </c>
      <c r="AR17" s="78">
        <f t="shared" ca="1" si="69"/>
        <v>0</v>
      </c>
      <c r="AS17" s="78">
        <f t="shared" ca="1" si="69"/>
        <v>0</v>
      </c>
      <c r="AT17" s="79">
        <f t="shared" ca="1" si="69"/>
        <v>0</v>
      </c>
      <c r="AU17" s="330">
        <f ca="1">INDEX($DL$6:$DL$53,MATCH(AI17,$DP$6:$DP$53,0))</f>
        <v>1</v>
      </c>
      <c r="AV17" s="182" t="str">
        <f ca="1">INDEX($BD$6:$BD$53,MATCH(AI17,$BM$6:$BM$53,0))</f>
        <v>Switzerland</v>
      </c>
      <c r="AW17" s="210"/>
      <c r="AX17" s="171"/>
      <c r="AY17" s="205" t="str">
        <f ca="1">+A16</f>
        <v>Switzerland</v>
      </c>
      <c r="AZ17" s="206"/>
      <c r="BA17" s="176"/>
      <c r="BC17" s="16" t="str">
        <f ca="1">+INDEX(T_Equipos[Grupo],MATCH(WORLDCUP!BD17,T_Equipos[NombreEquipo],0))</f>
        <v>C</v>
      </c>
      <c r="BD17" s="16" t="str">
        <f ca="1">+Equipos!B13</f>
        <v>Scotland</v>
      </c>
      <c r="BE17" s="16">
        <f t="shared" ca="1" si="16"/>
        <v>0</v>
      </c>
      <c r="BF17" s="16">
        <f t="shared" ca="1" si="41"/>
        <v>0</v>
      </c>
      <c r="BG17" s="16">
        <f t="shared" ca="1" si="17"/>
        <v>0</v>
      </c>
      <c r="BH17" s="16">
        <f t="shared" ca="1" si="18"/>
        <v>0</v>
      </c>
      <c r="BI17" s="16">
        <f t="shared" ca="1" si="19"/>
        <v>0</v>
      </c>
      <c r="BJ17" s="16">
        <f t="shared" ca="1" si="20"/>
        <v>0</v>
      </c>
      <c r="BK17" s="16">
        <f t="shared" ca="1" si="21"/>
        <v>0</v>
      </c>
      <c r="BL17" s="16">
        <f t="shared" ca="1" si="42"/>
        <v>0</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0</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(4)</v>
      </c>
      <c r="BU17" s="16">
        <f t="shared" ca="1" si="24"/>
        <v>0</v>
      </c>
      <c r="BV17" s="16">
        <f t="shared" ca="1" si="25"/>
        <v>0</v>
      </c>
      <c r="BW17" s="16">
        <f t="shared" ca="1" si="26"/>
        <v>0</v>
      </c>
      <c r="BX17" s="16">
        <f t="shared" ca="1" si="48"/>
        <v>0</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(4)</v>
      </c>
      <c r="CA17" s="16">
        <f t="shared" ca="1" si="27"/>
        <v>0</v>
      </c>
      <c r="CB17" s="16">
        <f t="shared" ca="1" si="28"/>
        <v>0</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(4)</v>
      </c>
      <c r="CF17" s="16">
        <f t="shared" ca="1" si="29"/>
        <v>0</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(4)</v>
      </c>
      <c r="CI17" s="16">
        <f t="shared" ca="1" si="30"/>
        <v>0</v>
      </c>
      <c r="CJ17" s="16">
        <f t="shared" ca="1" si="31"/>
        <v>0</v>
      </c>
      <c r="CK17" s="16">
        <f t="shared" ca="1" si="32"/>
        <v>0</v>
      </c>
      <c r="CL17" s="16">
        <f t="shared" ca="1" si="50"/>
        <v>0</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(4)</v>
      </c>
      <c r="CO17" s="16">
        <f t="shared" ca="1" si="33"/>
        <v>0</v>
      </c>
      <c r="CP17" s="16">
        <f t="shared" ca="1" si="34"/>
        <v>0</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(4)</v>
      </c>
      <c r="CT17" s="16">
        <f t="shared" ca="1" si="35"/>
        <v>0</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(4)</v>
      </c>
      <c r="CW17" s="16">
        <f t="shared" ca="1" si="36"/>
        <v>0</v>
      </c>
      <c r="CX17" s="16">
        <f ca="1">CU17+COUNTIFS($CV$6:$CV$53,CV17,$CW$6:CW$53,"&gt;"&amp;CW17,$BC$6:$BC$53,INDEX(T_Equipos[Grupo],MATCH(BD17,T_Equipos[NombreEquipo],0)))</f>
        <v>1</v>
      </c>
      <c r="CY17" s="16" t="str">
        <f ca="1">IF(COUNTIFS($CX$6:$CX$53,CX17,$BC$6:$BC$53,INDEX(T_Equipos[Grupo],MATCH(BD17,T_Equipos[NombreEquipo],0)))=1,"-","P."&amp;CX17&amp;" ("&amp;COUNTIFS($CX$6:$CX$53,CX17,$BC$6:$BC$53,INDEX(T_Equipos[Grupo],MATCH(BD17,T_Equipos[NombreEquipo],0)))&amp;")")</f>
        <v>P.1 (4)</v>
      </c>
      <c r="CZ17" s="16">
        <f t="shared" ca="1" si="37"/>
        <v>0</v>
      </c>
      <c r="DA17" s="16">
        <f ca="1">CX17+COUNTIFS($CY$6:$CY$53,CY17,$CZ$6:CZ$53,"&gt;"&amp;CZ17,$BC$6:$BC$53,INDEX(T_Equipos[Grupo],MATCH(BD17,T_Equipos[NombreEquipo],0)))</f>
        <v>1</v>
      </c>
      <c r="DB17" s="16" t="str">
        <f ca="1">IF(COUNTIFS($DA$6:$DA$53,DA17,$BC$6:$BC$53,INDEX(T_Equipos[Grupo],MATCH(BD17,T_Equipos[NombreEquipo],0)))=1,"-","P."&amp;DA17&amp;" ("&amp;COUNTIFS($DA$6:$DA$53,DA17,$BC$6:$BC$53,INDEX(T_Equipos[Grupo],MATCH(BD17,T_Equipos[NombreEquipo],0)))&amp;")")</f>
        <v>P.1 (4)</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4</v>
      </c>
      <c r="DE17" s="16"/>
      <c r="DF17" s="16">
        <f t="shared" ca="1" si="52"/>
        <v>4</v>
      </c>
      <c r="DG17" s="16">
        <f ca="1">IF(DB17="-","-",COUNTIFS(DF$6:DF$53,"&lt;"&amp;DF17,$BC$6:$BC$53,INDEX(T_Equipos[Grupo],MATCH(BD17,T_Equipos[NombreEquipo],0))))</f>
        <v>3</v>
      </c>
      <c r="DH17" s="16">
        <f ca="1">DA17+COUNTIFS(DB$6:DB$53,DB17,DG$6:DG$53,"&lt;"&amp;DG17,$BC$6:$BC$53,INDEX(T_Equipos[Grupo],MATCH(BD17,T_Equipos[NombreEquipo],0)))</f>
        <v>4</v>
      </c>
      <c r="DI17" s="16"/>
      <c r="DJ17" s="16">
        <f t="shared" ca="1" si="38"/>
        <v>1</v>
      </c>
      <c r="DK17" s="16">
        <f t="shared" ca="1" si="39"/>
        <v>0</v>
      </c>
      <c r="DL17" s="16">
        <f t="shared" ca="1" si="40"/>
        <v>1</v>
      </c>
      <c r="DM17" s="16" t="str">
        <f t="shared" ca="1" si="46"/>
        <v>1.1</v>
      </c>
      <c r="DN17" s="16" cm="1">
        <f t="array" aca="1" ref="DN17" ca="1">OFFSET(Horarios!$P$3,DJ17-1,0,DL17,1)</f>
        <v>1</v>
      </c>
      <c r="DO17" s="16"/>
      <c r="DP17" s="16" t="s">
        <v>669</v>
      </c>
      <c r="DQ17" s="16" t="str">
        <f t="shared" ca="1" si="47"/>
        <v>Scotland</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0</v>
      </c>
      <c r="BF18" s="16">
        <f t="shared" ca="1" si="41"/>
        <v>0</v>
      </c>
      <c r="BG18" s="16">
        <f t="shared" ca="1" si="17"/>
        <v>0</v>
      </c>
      <c r="BH18" s="16">
        <f t="shared" ca="1" si="18"/>
        <v>0</v>
      </c>
      <c r="BI18" s="16">
        <f t="shared" ca="1" si="19"/>
        <v>0</v>
      </c>
      <c r="BJ18" s="16">
        <f t="shared" ca="1" si="20"/>
        <v>0</v>
      </c>
      <c r="BK18" s="16">
        <f t="shared" ca="1" si="21"/>
        <v>0</v>
      </c>
      <c r="BL18" s="16">
        <f t="shared" ca="1" si="42"/>
        <v>0</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(4)</v>
      </c>
      <c r="BU18" s="16">
        <f t="shared" ca="1" si="24"/>
        <v>0</v>
      </c>
      <c r="BV18" s="16">
        <f t="shared" ca="1" si="25"/>
        <v>0</v>
      </c>
      <c r="BW18" s="16">
        <f t="shared" ca="1" si="26"/>
        <v>0</v>
      </c>
      <c r="BX18" s="16">
        <f t="shared" ca="1" si="48"/>
        <v>0</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(4)</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(4)</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(4)</v>
      </c>
      <c r="CI18" s="16">
        <f t="shared" ca="1" si="30"/>
        <v>0</v>
      </c>
      <c r="CJ18" s="16">
        <f t="shared" ca="1" si="31"/>
        <v>0</v>
      </c>
      <c r="CK18" s="16">
        <f t="shared" ca="1" si="32"/>
        <v>0</v>
      </c>
      <c r="CL18" s="16">
        <f t="shared" ca="1" si="50"/>
        <v>0</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(4)</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(4)</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(4)</v>
      </c>
      <c r="CW18" s="16">
        <f t="shared" ca="1" si="36"/>
        <v>0</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(4)</v>
      </c>
      <c r="CZ18" s="16">
        <f t="shared" ca="1" si="37"/>
        <v>0</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P.1 (4)</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1</v>
      </c>
      <c r="DE18" s="16"/>
      <c r="DF18" s="16">
        <f t="shared" ca="1" si="52"/>
        <v>1</v>
      </c>
      <c r="DG18" s="16">
        <f ca="1">IF(DB18="-","-",COUNTIFS(DF$6:DF$53,"&lt;"&amp;DF18,$BC$6:$BC$53,INDEX(T_Equipos[Grupo],MATCH(BD18,T_Equipos[NombreEquipo],0))))</f>
        <v>0</v>
      </c>
      <c r="DH18" s="16">
        <f ca="1">DA18+COUNTIFS(DB$6:DB$53,DB18,DG$6:DG$53,"&lt;"&amp;DG18,$BC$6:$BC$53,INDEX(T_Equipos[Grupo],MATCH(BD18,T_Equipos[NombreEquipo],0)))</f>
        <v>1</v>
      </c>
      <c r="DI18" s="16"/>
      <c r="DJ18" s="16">
        <f t="shared" ca="1" si="38"/>
        <v>1</v>
      </c>
      <c r="DK18" s="16">
        <f t="shared" ca="1" si="39"/>
        <v>0</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0</v>
      </c>
      <c r="BG19" s="16">
        <f t="shared" ca="1" si="17"/>
        <v>0</v>
      </c>
      <c r="BH19" s="16">
        <f t="shared" ca="1" si="18"/>
        <v>0</v>
      </c>
      <c r="BI19" s="16">
        <f t="shared" ca="1" si="19"/>
        <v>0</v>
      </c>
      <c r="BJ19" s="16">
        <f t="shared" ca="1" si="20"/>
        <v>0</v>
      </c>
      <c r="BK19" s="16">
        <f t="shared" ca="1" si="21"/>
        <v>0</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(4)</v>
      </c>
      <c r="BU19" s="16">
        <f t="shared" ca="1" si="24"/>
        <v>0</v>
      </c>
      <c r="BV19" s="16">
        <f t="shared" ca="1" si="25"/>
        <v>0</v>
      </c>
      <c r="BW19" s="16">
        <f t="shared" ca="1" si="26"/>
        <v>0</v>
      </c>
      <c r="BX19" s="16">
        <f t="shared" ca="1" si="48"/>
        <v>0</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(4)</v>
      </c>
      <c r="CA19" s="16">
        <f t="shared" ca="1" si="27"/>
        <v>0</v>
      </c>
      <c r="CB19" s="16">
        <f t="shared" ca="1" si="28"/>
        <v>0</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(4)</v>
      </c>
      <c r="CF19" s="16">
        <f t="shared" ca="1" si="29"/>
        <v>0</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(4)</v>
      </c>
      <c r="CI19" s="16">
        <f t="shared" ca="1" si="30"/>
        <v>0</v>
      </c>
      <c r="CJ19" s="16">
        <f t="shared" ca="1" si="31"/>
        <v>0</v>
      </c>
      <c r="CK19" s="16">
        <f t="shared" ca="1" si="32"/>
        <v>0</v>
      </c>
      <c r="CL19" s="16">
        <f t="shared" ca="1" si="50"/>
        <v>0</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(4)</v>
      </c>
      <c r="CO19" s="16">
        <f t="shared" ca="1" si="33"/>
        <v>0</v>
      </c>
      <c r="CP19" s="16">
        <f t="shared" ca="1" si="34"/>
        <v>0</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(4)</v>
      </c>
      <c r="CT19" s="16">
        <f t="shared" ca="1" si="35"/>
        <v>0</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(4)</v>
      </c>
      <c r="CW19" s="16">
        <f t="shared" ca="1" si="36"/>
        <v>0</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P.1 (4)</v>
      </c>
      <c r="CZ19" s="16">
        <f t="shared" ca="1" si="37"/>
        <v>0</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P.1 (4)</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2</v>
      </c>
      <c r="DE19" s="16"/>
      <c r="DF19" s="16">
        <f t="shared" ca="1" si="52"/>
        <v>2</v>
      </c>
      <c r="DG19" s="16">
        <f ca="1">IF(DB19="-","-",COUNTIFS(DF$6:DF$53,"&lt;"&amp;DF19,$BC$6:$BC$53,INDEX(T_Equipos[Grupo],MATCH(BD19,T_Equipos[NombreEquipo],0))))</f>
        <v>1</v>
      </c>
      <c r="DH19" s="16">
        <f ca="1">DA19+COUNTIFS(DB$6:DB$53,DB19,DG$6:DG$53,"&lt;"&amp;DG19,$BC$6:$BC$53,INDEX(T_Equipos[Grupo],MATCH(BD19,T_Equipos[NombreEquipo],0)))</f>
        <v>2</v>
      </c>
      <c r="DI19" s="16"/>
      <c r="DJ19" s="16">
        <f t="shared" ca="1" si="38"/>
        <v>1</v>
      </c>
      <c r="DK19" s="16">
        <f t="shared" ca="1" si="39"/>
        <v>0</v>
      </c>
      <c r="DL19" s="16">
        <f t="shared" ca="1" si="40"/>
        <v>1</v>
      </c>
      <c r="DM19" s="16" t="str">
        <f t="shared" ca="1" si="46"/>
        <v>1.1</v>
      </c>
      <c r="DN19" s="16" cm="1">
        <f t="array" aca="1" ref="DN19" ca="1">OFFSET(Horarios!$P$3,DJ19-1,0,DL19,1)</f>
        <v>1</v>
      </c>
      <c r="DO19" s="16"/>
      <c r="DP19" s="16" t="s">
        <v>671</v>
      </c>
      <c r="DQ19" s="16" t="str">
        <f t="shared" ca="1" si="47"/>
        <v>Paraguay</v>
      </c>
    </row>
    <row r="20" spans="1:121" ht="15.95" customHeight="1" thickBot="1">
      <c r="A20" s="16" t="s">
        <v>32</v>
      </c>
      <c r="B20" s="16" t="s">
        <v>2</v>
      </c>
      <c r="C20" s="16">
        <f>COUNTIF(Equipos!$C$2:$C$49,WORLDCUP!B20)</f>
        <v>4</v>
      </c>
      <c r="D20" s="16" t="str">
        <f t="shared" ref="D20:D25" si="71">IF(OR(AC20="",AD20=""),"Pendiente",IF(AC20&gt;AD20,"Local",IF(AC20&lt;AD20,"Visitante","Empate")))</f>
        <v>Pendiente</v>
      </c>
      <c r="E20" s="16" t="str">
        <f t="shared" ref="E20:E25" si="72">IF(D20="Pendiente","-",INDEX($BT$6:$BT$53,MATCH($AA20,$BD$6:$BD$53,0)))</f>
        <v>-</v>
      </c>
      <c r="F20" s="16" t="str">
        <f t="shared" ref="F20:F25" si="73">IF(D20="Pendiente","-",INDEX($BT$6:$BT$53,MATCH($AF20,$BD$6:$BD$53,0)))</f>
        <v>-</v>
      </c>
      <c r="G20" s="16"/>
      <c r="H20" s="16" t="str">
        <f t="shared" ref="H20:H25" si="74">IF(D20="Pendiente","-",INDEX($BZ$6:$BZ$53,MATCH($AA20,$BD$6:$BD$53,0)))</f>
        <v>-</v>
      </c>
      <c r="I20" s="16" t="str">
        <f t="shared" ref="I20:I25" si="75">IF(D20="Pendiente","-",INDEX($BZ$6:$BZ$53,MATCH($AF20,$BD$6:$BD$53,0)))</f>
        <v>-</v>
      </c>
      <c r="J20" s="16"/>
      <c r="K20" s="16" t="str">
        <f t="shared" ref="K20:K25" si="76">IF(D20="Pendiente","-",INDEX($CE$6:$CE$53,MATCH($AA20,$BD$6:$BD$53,0)))</f>
        <v>-</v>
      </c>
      <c r="L20" s="16" t="str">
        <f t="shared" ref="L20:L25" si="77">IF(D20="Pendiente","-",INDEX($CE$6:$CE$53,MATCH($AF20,$BD$6:$BD$53,0)))</f>
        <v>-</v>
      </c>
      <c r="M20" s="16"/>
      <c r="N20" s="16" t="str">
        <f t="shared" ref="N20:N25" si="78">IF(D20="Pendiente","-",INDEX($CH$6:$CH$53,MATCH($AA20,$BD$6:$BD$53,0)))</f>
        <v>-</v>
      </c>
      <c r="O20" s="16" t="str">
        <f t="shared" ref="O20:O25" si="79">IF(D20="Pendiente","-",INDEX($CH$6:$CH$53,MATCH($AF20,$BD$6:$BD$53,0)))</f>
        <v>-</v>
      </c>
      <c r="P20" s="16"/>
      <c r="Q20" s="16" t="str">
        <f t="shared" ref="Q20:Q25" si="80">IF(D20="Pendiente","-",INDEX($CN$6:$CN$53,MATCH($AA20,$BD$6:$BD$53,0)))</f>
        <v>-</v>
      </c>
      <c r="R20" s="16" t="str">
        <f t="shared" ref="R20:R25" si="81">IF(D20="Pendiente","-",INDEX($CN$6:$CN$53,MATCH($AF20,$BD$6:$BD$53,0)))</f>
        <v>-</v>
      </c>
      <c r="S20" s="16"/>
      <c r="T20" s="16" t="str">
        <f t="shared" ref="T20:T25" si="82">IF(D20="Pendiente","-",INDEX($CS$6:$CS$53,MATCH($AA20,$BD$6:$BD$53,0)))</f>
        <v>-</v>
      </c>
      <c r="U20" s="16" t="str">
        <f t="shared" ref="U20:U25" si="83">IF(D20="Pendiente","-",INDEX($CS$6:$CS$53,MATCH($AF20,$BD$6:$BD$53,0)))</f>
        <v>-</v>
      </c>
      <c r="V20" s="17"/>
      <c r="W20" s="649" t="s">
        <v>2</v>
      </c>
      <c r="X20" s="24">
        <f ca="1">Horarios!C20</f>
        <v>46187</v>
      </c>
      <c r="Y20" s="25">
        <f ca="1">Horarios!C20</f>
        <v>46187</v>
      </c>
      <c r="Z20" s="26" t="str">
        <f>$Z$4</f>
        <v>R1</v>
      </c>
      <c r="AA20" s="27" t="str">
        <f ca="1">A21</f>
        <v>Brazil</v>
      </c>
      <c r="AB20" s="49" t="e" cm="1" vm="9">
        <f t="array" aca="1" ref="AB20" ca="1">Ver_flag_local</f>
        <v>#VALUE!</v>
      </c>
      <c r="AC20" s="50"/>
      <c r="AD20" s="51"/>
      <c r="AE20" s="595" t="e" cm="1" vm="10">
        <f t="array" aca="1" ref="AE20" ca="1">Ver_flag_visit</f>
        <v>#VALUE!</v>
      </c>
      <c r="AF20" s="32" t="str">
        <f ca="1">A22</f>
        <v>Morocco</v>
      </c>
      <c r="AG20" s="323">
        <f t="shared" ref="AG20:AG25" si="84">IF(NOT(OR(ISBLANK(AC20),ISBLANK(AD20))),1,0)</f>
        <v>0</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0</v>
      </c>
      <c r="BG20" s="16">
        <f t="shared" ca="1" si="17"/>
        <v>0</v>
      </c>
      <c r="BH20" s="16">
        <f t="shared" ca="1" si="18"/>
        <v>0</v>
      </c>
      <c r="BI20" s="16">
        <f t="shared" ca="1" si="19"/>
        <v>0</v>
      </c>
      <c r="BJ20" s="16">
        <f t="shared" ca="1" si="20"/>
        <v>0</v>
      </c>
      <c r="BK20" s="16">
        <f t="shared" ca="1" si="21"/>
        <v>0</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(4)</v>
      </c>
      <c r="BU20" s="16">
        <f t="shared" ca="1" si="24"/>
        <v>0</v>
      </c>
      <c r="BV20" s="16">
        <f t="shared" ca="1" si="25"/>
        <v>0</v>
      </c>
      <c r="BW20" s="16">
        <f t="shared" ca="1" si="26"/>
        <v>0</v>
      </c>
      <c r="BX20" s="16">
        <f t="shared" ca="1" si="48"/>
        <v>0</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(4)</v>
      </c>
      <c r="CA20" s="16">
        <f t="shared" ca="1" si="27"/>
        <v>0</v>
      </c>
      <c r="CB20" s="16">
        <f t="shared" ca="1" si="28"/>
        <v>0</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(4)</v>
      </c>
      <c r="CF20" s="16">
        <f t="shared" ca="1" si="29"/>
        <v>0</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(4)</v>
      </c>
      <c r="CI20" s="16">
        <f t="shared" ca="1" si="30"/>
        <v>0</v>
      </c>
      <c r="CJ20" s="16">
        <f t="shared" ca="1" si="31"/>
        <v>0</v>
      </c>
      <c r="CK20" s="16">
        <f t="shared" ca="1" si="32"/>
        <v>0</v>
      </c>
      <c r="CL20" s="16">
        <f t="shared" ca="1" si="50"/>
        <v>0</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(4)</v>
      </c>
      <c r="CO20" s="16">
        <f t="shared" ca="1" si="33"/>
        <v>0</v>
      </c>
      <c r="CP20" s="16">
        <f t="shared" ca="1" si="34"/>
        <v>0</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(4)</v>
      </c>
      <c r="CT20" s="16">
        <f t="shared" ca="1" si="35"/>
        <v>0</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(4)</v>
      </c>
      <c r="CW20" s="16">
        <f t="shared" ca="1" si="36"/>
        <v>0</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(4)</v>
      </c>
      <c r="CZ20" s="16">
        <f t="shared" ca="1" si="37"/>
        <v>0</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P.1 (4)</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3</v>
      </c>
      <c r="DE20" s="16"/>
      <c r="DF20" s="16">
        <f t="shared" ca="1" si="52"/>
        <v>3</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1</v>
      </c>
      <c r="DK20" s="16">
        <f t="shared" ca="1" si="39"/>
        <v>0</v>
      </c>
      <c r="DL20" s="16">
        <f t="shared" ca="1" si="40"/>
        <v>1</v>
      </c>
      <c r="DM20" s="16" t="str">
        <f t="shared" ca="1" si="46"/>
        <v>1.1</v>
      </c>
      <c r="DN20" s="16" cm="1">
        <f t="array" aca="1" ref="DN20" ca="1">OFFSET(Horarios!$P$3,DJ20-1,0,DL20,1)</f>
        <v>1</v>
      </c>
      <c r="DO20" s="16"/>
      <c r="DP20" s="16" t="s">
        <v>93</v>
      </c>
      <c r="DQ20" s="16" t="str">
        <f t="shared" ca="1" si="47"/>
        <v>Australia</v>
      </c>
    </row>
    <row r="21" spans="1:121" ht="15.95" customHeight="1">
      <c r="A21" s="16" t="str">
        <f ca="1">+Equipos!B10</f>
        <v>Brazil</v>
      </c>
      <c r="B21" s="16"/>
      <c r="C21" s="16"/>
      <c r="D21" s="16" t="str">
        <f t="shared" si="71"/>
        <v>Pendiente</v>
      </c>
      <c r="E21" s="16" t="str">
        <f t="shared" si="72"/>
        <v>-</v>
      </c>
      <c r="F21" s="16" t="str">
        <f t="shared" si="73"/>
        <v>-</v>
      </c>
      <c r="G21" s="16"/>
      <c r="H21" s="16" t="str">
        <f t="shared" si="74"/>
        <v>-</v>
      </c>
      <c r="I21" s="16" t="str">
        <f t="shared" si="75"/>
        <v>-</v>
      </c>
      <c r="J21" s="16"/>
      <c r="K21" s="16" t="str">
        <f t="shared" si="76"/>
        <v>-</v>
      </c>
      <c r="L21" s="16" t="str">
        <f t="shared" si="77"/>
        <v>-</v>
      </c>
      <c r="M21" s="16"/>
      <c r="N21" s="16" t="str">
        <f t="shared" si="78"/>
        <v>-</v>
      </c>
      <c r="O21" s="16" t="str">
        <f t="shared" si="79"/>
        <v>-</v>
      </c>
      <c r="P21" s="16"/>
      <c r="Q21" s="16" t="str">
        <f t="shared" si="80"/>
        <v>-</v>
      </c>
      <c r="R21" s="16" t="str">
        <f t="shared" si="81"/>
        <v>-</v>
      </c>
      <c r="S21" s="16"/>
      <c r="T21" s="16" t="str">
        <f t="shared" si="82"/>
        <v>-</v>
      </c>
      <c r="U21" s="16" t="str">
        <f t="shared" si="83"/>
        <v>-</v>
      </c>
      <c r="V21" s="17"/>
      <c r="W21" s="649"/>
      <c r="X21" s="24">
        <f ca="1">Horarios!C21</f>
        <v>46187.125</v>
      </c>
      <c r="Y21" s="25">
        <f ca="1">Horarios!C21</f>
        <v>46187.125</v>
      </c>
      <c r="Z21" s="26" t="str">
        <f>$Z$4</f>
        <v>R1</v>
      </c>
      <c r="AA21" s="27" t="str">
        <f ca="1">A23</f>
        <v>Haiti</v>
      </c>
      <c r="AB21" s="49" t="e" cm="1" vm="11">
        <f t="array" aca="1" ref="AB21" ca="1">Ver_flag_local</f>
        <v>#VALUE!</v>
      </c>
      <c r="AC21" s="50"/>
      <c r="AD21" s="51"/>
      <c r="AE21" s="595" t="e" cm="1" vm="12">
        <f t="array" aca="1" ref="AE21" ca="1">Ver_flag_visit</f>
        <v>#VALUE!</v>
      </c>
      <c r="AF21" s="32" t="str">
        <f ca="1">A24</f>
        <v>Scotland</v>
      </c>
      <c r="AG21" s="323">
        <f t="shared" si="84"/>
        <v>0</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0</v>
      </c>
      <c r="BF21" s="16">
        <f t="shared" ca="1" si="41"/>
        <v>0</v>
      </c>
      <c r="BG21" s="16">
        <f t="shared" ca="1" si="17"/>
        <v>0</v>
      </c>
      <c r="BH21" s="16">
        <f t="shared" ca="1" si="18"/>
        <v>0</v>
      </c>
      <c r="BI21" s="16">
        <f t="shared" ca="1" si="19"/>
        <v>0</v>
      </c>
      <c r="BJ21" s="16">
        <f t="shared" ca="1" si="20"/>
        <v>0</v>
      </c>
      <c r="BK21" s="16">
        <f t="shared" ca="1" si="21"/>
        <v>0</v>
      </c>
      <c r="BL21" s="16">
        <f t="shared" ca="1" si="42"/>
        <v>0</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0</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(4)</v>
      </c>
      <c r="BU21" s="16">
        <f t="shared" ca="1" si="24"/>
        <v>0</v>
      </c>
      <c r="BV21" s="16">
        <f t="shared" ca="1" si="25"/>
        <v>0</v>
      </c>
      <c r="BW21" s="16">
        <f t="shared" ca="1" si="26"/>
        <v>0</v>
      </c>
      <c r="BX21" s="16">
        <f t="shared" ca="1" si="48"/>
        <v>0</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(4)</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(4)</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(4)</v>
      </c>
      <c r="CI21" s="16">
        <f t="shared" ca="1" si="30"/>
        <v>0</v>
      </c>
      <c r="CJ21" s="16">
        <f t="shared" ca="1" si="31"/>
        <v>0</v>
      </c>
      <c r="CK21" s="16">
        <f t="shared" ca="1" si="32"/>
        <v>0</v>
      </c>
      <c r="CL21" s="16">
        <f t="shared" ca="1" si="50"/>
        <v>0</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(4)</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(4)</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(4)</v>
      </c>
      <c r="CW21" s="16">
        <f t="shared" ca="1" si="36"/>
        <v>0</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(4)</v>
      </c>
      <c r="CZ21" s="16">
        <f t="shared" ca="1" si="37"/>
        <v>0</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P.1 (4)</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4</v>
      </c>
      <c r="DE21" s="16"/>
      <c r="DF21" s="16">
        <f t="shared" ca="1" si="52"/>
        <v>4</v>
      </c>
      <c r="DG21" s="16">
        <f ca="1">IF(DB21="-","-",COUNTIFS(DF$6:DF$53,"&lt;"&amp;DF21,$BC$6:$BC$53,INDEX(T_Equipos[Grupo],MATCH(BD21,T_Equipos[NombreEquipo],0))))</f>
        <v>3</v>
      </c>
      <c r="DH21" s="16">
        <f ca="1">DA21+COUNTIFS(DB$6:DB$53,DB21,DG$6:DG$53,"&lt;"&amp;DG21,$BC$6:$BC$53,INDEX(T_Equipos[Grupo],MATCH(BD21,T_Equipos[NombreEquipo],0)))</f>
        <v>4</v>
      </c>
      <c r="DI21" s="16"/>
      <c r="DJ21" s="16">
        <f t="shared" ca="1" si="38"/>
        <v>1</v>
      </c>
      <c r="DK21" s="16">
        <f t="shared" ca="1" si="39"/>
        <v>0</v>
      </c>
      <c r="DL21" s="16">
        <f t="shared" ca="1" si="40"/>
        <v>1</v>
      </c>
      <c r="DM21" s="16" t="str">
        <f t="shared" ca="1" si="46"/>
        <v>1.1</v>
      </c>
      <c r="DN21" s="16" cm="1">
        <f t="array" aca="1" ref="DN21" ca="1">OFFSET(Horarios!$P$3,DJ21-1,0,DL21,1)</f>
        <v>1</v>
      </c>
      <c r="DO21" s="16"/>
      <c r="DP21" s="16" t="s">
        <v>672</v>
      </c>
      <c r="DQ21" s="16" t="str">
        <f t="shared" ca="1" si="47"/>
        <v>Turkey</v>
      </c>
    </row>
    <row r="22" spans="1:121" ht="15.95" customHeight="1">
      <c r="A22" s="16" t="str">
        <f ca="1">+Equipos!B11</f>
        <v>Morocco</v>
      </c>
      <c r="B22" s="16"/>
      <c r="C22" s="16"/>
      <c r="D22" s="16" t="str">
        <f t="shared" si="71"/>
        <v>Pendiente</v>
      </c>
      <c r="E22" s="16" t="str">
        <f t="shared" si="72"/>
        <v>-</v>
      </c>
      <c r="F22" s="16" t="str">
        <f t="shared" si="73"/>
        <v>-</v>
      </c>
      <c r="G22" s="16"/>
      <c r="H22" s="16" t="str">
        <f t="shared" si="74"/>
        <v>-</v>
      </c>
      <c r="I22" s="16" t="str">
        <f t="shared" si="75"/>
        <v>-</v>
      </c>
      <c r="J22" s="16"/>
      <c r="K22" s="16" t="str">
        <f t="shared" si="76"/>
        <v>-</v>
      </c>
      <c r="L22" s="16" t="str">
        <f t="shared" si="77"/>
        <v>-</v>
      </c>
      <c r="M22" s="16"/>
      <c r="N22" s="16" t="str">
        <f t="shared" si="78"/>
        <v>-</v>
      </c>
      <c r="O22" s="16" t="str">
        <f t="shared" si="79"/>
        <v>-</v>
      </c>
      <c r="P22" s="16"/>
      <c r="Q22" s="16" t="str">
        <f t="shared" si="80"/>
        <v>-</v>
      </c>
      <c r="R22" s="16" t="str">
        <f t="shared" si="81"/>
        <v>-</v>
      </c>
      <c r="S22" s="16"/>
      <c r="T22" s="16" t="str">
        <f t="shared" si="82"/>
        <v>-</v>
      </c>
      <c r="U22" s="16" t="str">
        <f t="shared" si="83"/>
        <v>-</v>
      </c>
      <c r="V22" s="17"/>
      <c r="W22" s="649"/>
      <c r="X22" s="24">
        <f ca="1">Horarios!C22</f>
        <v>46193</v>
      </c>
      <c r="Y22" s="25">
        <f ca="1">Horarios!C22</f>
        <v>46193</v>
      </c>
      <c r="Z22" s="26" t="str">
        <f>$Z$6</f>
        <v>R2</v>
      </c>
      <c r="AA22" s="27" t="str">
        <f ca="1">A24</f>
        <v>Scotland</v>
      </c>
      <c r="AB22" s="49" t="e" cm="1" vm="12">
        <f t="array" aca="1" ref="AB22" ca="1">Ver_flag_local</f>
        <v>#VALUE!</v>
      </c>
      <c r="AC22" s="50"/>
      <c r="AD22" s="51"/>
      <c r="AE22" s="595" t="e" cm="1" vm="10">
        <f t="array" aca="1" ref="AE22" ca="1">Ver_flag_visit</f>
        <v>#VALUE!</v>
      </c>
      <c r="AF22" s="32" t="str">
        <f ca="1">A22</f>
        <v>Morocco</v>
      </c>
      <c r="AG22" s="323">
        <f t="shared" si="84"/>
        <v>0</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0</v>
      </c>
      <c r="AN22" s="36">
        <f t="shared" ca="1" si="87"/>
        <v>0</v>
      </c>
      <c r="AO22" s="36">
        <f t="shared" ca="1" si="87"/>
        <v>0</v>
      </c>
      <c r="AP22" s="36">
        <f t="shared" ca="1" si="87"/>
        <v>0</v>
      </c>
      <c r="AQ22" s="36">
        <f t="shared" ca="1" si="87"/>
        <v>0</v>
      </c>
      <c r="AR22" s="36">
        <f t="shared" ca="1" si="87"/>
        <v>0</v>
      </c>
      <c r="AS22" s="36">
        <f t="shared" ca="1" si="87"/>
        <v>0</v>
      </c>
      <c r="AT22" s="41">
        <f t="shared" ca="1" si="87"/>
        <v>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0</v>
      </c>
      <c r="BF22" s="16">
        <f t="shared" ca="1" si="41"/>
        <v>0</v>
      </c>
      <c r="BG22" s="16">
        <f t="shared" ca="1" si="17"/>
        <v>0</v>
      </c>
      <c r="BH22" s="16">
        <f t="shared" ca="1" si="18"/>
        <v>0</v>
      </c>
      <c r="BI22" s="16">
        <f t="shared" ca="1" si="19"/>
        <v>0</v>
      </c>
      <c r="BJ22" s="16">
        <f t="shared" ca="1" si="20"/>
        <v>0</v>
      </c>
      <c r="BK22" s="16">
        <f t="shared" ca="1" si="21"/>
        <v>0</v>
      </c>
      <c r="BL22" s="16">
        <f t="shared" ca="1" si="42"/>
        <v>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0</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(4)</v>
      </c>
      <c r="BU22" s="16">
        <f t="shared" ca="1" si="24"/>
        <v>0</v>
      </c>
      <c r="BV22" s="16">
        <f t="shared" ca="1" si="25"/>
        <v>0</v>
      </c>
      <c r="BW22" s="16">
        <f t="shared" ca="1" si="26"/>
        <v>0</v>
      </c>
      <c r="BX22" s="16">
        <f t="shared" ca="1" si="48"/>
        <v>0</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(4)</v>
      </c>
      <c r="CA22" s="16">
        <f t="shared" ca="1" si="27"/>
        <v>0</v>
      </c>
      <c r="CB22" s="16">
        <f t="shared" ca="1" si="28"/>
        <v>0</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(4)</v>
      </c>
      <c r="CF22" s="16">
        <f t="shared" ca="1" si="29"/>
        <v>0</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(4)</v>
      </c>
      <c r="CI22" s="16">
        <f t="shared" ca="1" si="30"/>
        <v>0</v>
      </c>
      <c r="CJ22" s="16">
        <f t="shared" ca="1" si="31"/>
        <v>0</v>
      </c>
      <c r="CK22" s="16">
        <f t="shared" ca="1" si="32"/>
        <v>0</v>
      </c>
      <c r="CL22" s="16">
        <f t="shared" ca="1" si="50"/>
        <v>0</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(4)</v>
      </c>
      <c r="CO22" s="16">
        <f t="shared" ca="1" si="33"/>
        <v>0</v>
      </c>
      <c r="CP22" s="16">
        <f t="shared" ca="1" si="34"/>
        <v>0</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(4)</v>
      </c>
      <c r="CT22" s="16">
        <f t="shared" ca="1" si="35"/>
        <v>0</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(4)</v>
      </c>
      <c r="CW22" s="16">
        <f t="shared" ca="1" si="36"/>
        <v>0</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P.1 (4)</v>
      </c>
      <c r="CZ22" s="16">
        <f t="shared" ca="1" si="37"/>
        <v>0</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P.1 (4)</v>
      </c>
      <c r="DC22" s="16">
        <f ca="1">IF(DB22="-","-",COUNTIFS(T_Equipos[Rank],"&lt;"&amp;INDEX(T_Equipos[Rank],MATCH(BD22,T_Equipos[NombreEquipo],0)),$BC$6:$BC$53,INDEX(T_Equipos[Grupo],MATCH(BD22,T_Equipos[NombreEquipo],0)))+1)</f>
        <v>1</v>
      </c>
      <c r="DD22" s="16">
        <f ca="1">DA22+COUNTIFS($DB$6:$DB$53,DB22,$DC$6:DC$53,"&lt;"&amp;DC22,$BC$6:$BC$53,INDEX(T_Equipos[Grupo],MATCH(BD22,T_Equipos[NombreEquipo],0)))</f>
        <v>1</v>
      </c>
      <c r="DE22" s="16"/>
      <c r="DF22" s="16">
        <f t="shared" ca="1" si="52"/>
        <v>1</v>
      </c>
      <c r="DG22" s="16">
        <f ca="1">IF(DB22="-","-",COUNTIFS(DF$6:DF$53,"&lt;"&amp;DF22,$BC$6:$BC$53,INDEX(T_Equipos[Grupo],MATCH(BD22,T_Equipos[NombreEquipo],0))))</f>
        <v>0</v>
      </c>
      <c r="DH22" s="16">
        <f ca="1">DA22+COUNTIFS(DB$6:DB$53,DB22,DG$6:DG$53,"&lt;"&amp;DG22,$BC$6:$BC$53,INDEX(T_Equipos[Grupo],MATCH(BD22,T_Equipos[NombreEquipo],0)))</f>
        <v>1</v>
      </c>
      <c r="DI22" s="16"/>
      <c r="DJ22" s="16">
        <f t="shared" ca="1" si="38"/>
        <v>1</v>
      </c>
      <c r="DK22" s="16">
        <f t="shared" ca="1" si="39"/>
        <v>0</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Pendiente</v>
      </c>
      <c r="E23" s="16" t="str">
        <f t="shared" si="72"/>
        <v>-</v>
      </c>
      <c r="F23" s="16" t="str">
        <f t="shared" si="73"/>
        <v>-</v>
      </c>
      <c r="G23" s="16"/>
      <c r="H23" s="16" t="str">
        <f t="shared" si="74"/>
        <v>-</v>
      </c>
      <c r="I23" s="16" t="str">
        <f t="shared" si="75"/>
        <v>-</v>
      </c>
      <c r="J23" s="16"/>
      <c r="K23" s="16" t="str">
        <f t="shared" si="76"/>
        <v>-</v>
      </c>
      <c r="L23" s="16" t="str">
        <f t="shared" si="77"/>
        <v>-</v>
      </c>
      <c r="M23" s="16"/>
      <c r="N23" s="16" t="str">
        <f t="shared" si="78"/>
        <v>-</v>
      </c>
      <c r="O23" s="16" t="str">
        <f t="shared" si="79"/>
        <v>-</v>
      </c>
      <c r="P23" s="16"/>
      <c r="Q23" s="16" t="str">
        <f t="shared" si="80"/>
        <v>-</v>
      </c>
      <c r="R23" s="16" t="str">
        <f t="shared" si="81"/>
        <v>-</v>
      </c>
      <c r="S23" s="16"/>
      <c r="T23" s="16" t="str">
        <f t="shared" si="82"/>
        <v>-</v>
      </c>
      <c r="U23" s="16" t="str">
        <f t="shared"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c r="AD23" s="51"/>
      <c r="AE23" s="595" t="e" cm="1" vm="11">
        <f t="array" aca="1" ref="AE23" ca="1">Ver_flag_visit</f>
        <v>#VALUE!</v>
      </c>
      <c r="AF23" s="32" t="str">
        <f ca="1">A23</f>
        <v>Haiti</v>
      </c>
      <c r="AG23" s="323">
        <f t="shared" si="84"/>
        <v>0</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0</v>
      </c>
      <c r="AN23" s="39">
        <f t="shared" ca="1" si="87"/>
        <v>0</v>
      </c>
      <c r="AO23" s="39">
        <f t="shared" ca="1" si="87"/>
        <v>0</v>
      </c>
      <c r="AP23" s="39">
        <f t="shared" ca="1" si="87"/>
        <v>0</v>
      </c>
      <c r="AQ23" s="39">
        <f t="shared" ca="1" si="87"/>
        <v>0</v>
      </c>
      <c r="AR23" s="39">
        <f t="shared" ca="1" si="87"/>
        <v>0</v>
      </c>
      <c r="AS23" s="39">
        <f t="shared" ca="1" si="87"/>
        <v>0</v>
      </c>
      <c r="AT23" s="43">
        <f t="shared" ca="1" si="87"/>
        <v>0</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0</v>
      </c>
      <c r="BG23" s="16">
        <f t="shared" ca="1" si="17"/>
        <v>0</v>
      </c>
      <c r="BH23" s="16">
        <f t="shared" ca="1" si="18"/>
        <v>0</v>
      </c>
      <c r="BI23" s="16">
        <f t="shared" ca="1" si="19"/>
        <v>0</v>
      </c>
      <c r="BJ23" s="16">
        <f t="shared" ca="1" si="20"/>
        <v>0</v>
      </c>
      <c r="BK23" s="16">
        <f t="shared" ca="1" si="21"/>
        <v>0</v>
      </c>
      <c r="BL23" s="16">
        <f t="shared" ca="1" si="42"/>
        <v>0</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1</v>
      </c>
      <c r="BT23" s="16" t="str">
        <f ca="1">IF(COUNTIFS($BS$6:$BS$53,BS23,$BC$6:$BC$53,INDEX(T_Equipos[Grupo],MATCH(BD23,T_Equipos[NombreEquipo],0)))=1,"-","P."&amp;BS23&amp;" ("&amp;COUNTIFS($BS$6:$BS$53,BS23,$BC$6:$BC$53,INDEX(T_Equipos[Grupo],MATCH(BD23,T_Equipos[NombreEquipo],0)))&amp;")")</f>
        <v>P.1 (4)</v>
      </c>
      <c r="BU23" s="16">
        <f t="shared" ca="1" si="24"/>
        <v>0</v>
      </c>
      <c r="BV23" s="16">
        <f t="shared" ca="1" si="25"/>
        <v>0</v>
      </c>
      <c r="BW23" s="16">
        <f t="shared" ca="1" si="26"/>
        <v>0</v>
      </c>
      <c r="BX23" s="16">
        <f t="shared" ca="1" si="48"/>
        <v>0</v>
      </c>
      <c r="BY23" s="16">
        <f ca="1">BS23+COUNTIFS($BT$6:$BT$53,BT23,$BX$6:BX$53,"&gt;"&amp;BX23,$BC$6:$BC$53,INDEX(T_Equipos[Grupo],MATCH(BD23,T_Equipos[NombreEquipo],0)))</f>
        <v>1</v>
      </c>
      <c r="BZ23" s="16" t="str">
        <f ca="1">IF(COUNTIFS($BY$6:$BY$53,BY23,$BC$6:$BC$53,INDEX(T_Equipos[Grupo],MATCH(BD23,T_Equipos[NombreEquipo],0)))=1,"-","P."&amp;BY23&amp;" ("&amp;COUNTIFS($BY$6:$BY$53,BY23,$BC$6:$BC$53,INDEX(T_Equipos[Grupo],MATCH(BD23,T_Equipos[NombreEquipo],0)))&amp;")")</f>
        <v>P.1 (4)</v>
      </c>
      <c r="CA23" s="16">
        <f t="shared" ca="1" si="27"/>
        <v>0</v>
      </c>
      <c r="CB23" s="16">
        <f t="shared" ca="1" si="28"/>
        <v>0</v>
      </c>
      <c r="CC23" s="16">
        <f t="shared" ca="1" si="49"/>
        <v>0</v>
      </c>
      <c r="CD23" s="16">
        <f ca="1">BY23+COUNTIFS($BZ$6:$BZ$53,BZ23,$CC$6:CC$53,"&gt;"&amp;CC23,$BC$6:$BC$53,INDEX(T_Equipos[Grupo],MATCH(BD23,T_Equipos[NombreEquipo],0)))</f>
        <v>1</v>
      </c>
      <c r="CE23" s="16" t="str">
        <f ca="1">IF(COUNTIFS($CD$6:$CD$53,CD23,$BC$6:$BC$53,INDEX(T_Equipos[Grupo],MATCH(BD23,T_Equipos[NombreEquipo],0)))=1,"-","P."&amp;CD23&amp;" ("&amp;COUNTIFS($CD$6:$CD$53,CD23,$BC$6:$BC$53,INDEX(T_Equipos[Grupo],MATCH(BD23,T_Equipos[NombreEquipo],0)))&amp;")")</f>
        <v>P.1 (4)</v>
      </c>
      <c r="CF23" s="16">
        <f t="shared" ca="1" si="29"/>
        <v>0</v>
      </c>
      <c r="CG23" s="16">
        <f ca="1">CD23+COUNTIFS($CE$6:$CE$53,CE23,$CF$6:CF$53,"&gt;"&amp;CF23,$BC$6:$BC$53,INDEX(T_Equipos[Grupo],MATCH(BD23,T_Equipos[NombreEquipo],0)))</f>
        <v>1</v>
      </c>
      <c r="CH23" s="16" t="str">
        <f ca="1">IF(COUNTIFS($CG$6:$CG$53,CG23,$BC$6:$BC$53,INDEX(T_Equipos[Grupo],MATCH(BD23,T_Equipos[NombreEquipo],0)))=1,"-","P."&amp;CG23&amp;" ("&amp;COUNTIFS($CG$6:$CG$53,CG23,$BC$6:$BC$53,INDEX(T_Equipos[Grupo],MATCH(BD23,T_Equipos[NombreEquipo],0)))&amp;")")</f>
        <v>P.1 (4)</v>
      </c>
      <c r="CI23" s="16">
        <f t="shared" ca="1" si="30"/>
        <v>0</v>
      </c>
      <c r="CJ23" s="16">
        <f t="shared" ca="1" si="31"/>
        <v>0</v>
      </c>
      <c r="CK23" s="16">
        <f t="shared" ca="1" si="32"/>
        <v>0</v>
      </c>
      <c r="CL23" s="16">
        <f t="shared" ca="1" si="50"/>
        <v>0</v>
      </c>
      <c r="CM23" s="16">
        <f ca="1">CG23+COUNTIFS($CH$6:$CH$53,CH23,$CL$6:CL$53,"&gt;"&amp;CL23,$BC$6:$BC$53,INDEX(T_Equipos[Grupo],MATCH(BD23,T_Equipos[NombreEquipo],0)))</f>
        <v>1</v>
      </c>
      <c r="CN23" s="16" t="str">
        <f ca="1">IF(COUNTIFS($CM$6:$CM$53,CM23,$BC$6:$BC$53,INDEX(T_Equipos[Grupo],MATCH(BD23,T_Equipos[NombreEquipo],0)))=1,"-","P."&amp;CM23&amp;" ("&amp;COUNTIFS($CM$6:$CM$53,CM23,$BC$6:$BC$53,INDEX(T_Equipos[Grupo],MATCH(BD23,T_Equipos[NombreEquipo],0)))&amp;")")</f>
        <v>P.1 (4)</v>
      </c>
      <c r="CO23" s="16">
        <f t="shared" ca="1" si="33"/>
        <v>0</v>
      </c>
      <c r="CP23" s="16">
        <f t="shared" ca="1" si="34"/>
        <v>0</v>
      </c>
      <c r="CQ23" s="16">
        <f t="shared" ca="1" si="51"/>
        <v>0</v>
      </c>
      <c r="CR23" s="16">
        <f ca="1">CM23+COUNTIFS($CN$6:$CN$53,CN23,$CQ$6:CQ$53,"&gt;"&amp;CQ23,$BC$6:$BC$53,INDEX(T_Equipos[Grupo],MATCH(BD23,T_Equipos[NombreEquipo],0)))</f>
        <v>1</v>
      </c>
      <c r="CS23" s="16" t="str">
        <f ca="1">IF(COUNTIFS($CR$6:$CR$53,CR23,$BC$6:$BC$53,INDEX(T_Equipos[Grupo],MATCH(BD23,T_Equipos[NombreEquipo],0)))=1,"-","P."&amp;CR23&amp;" ("&amp;COUNTIFS($CR$6:$CR$53,CR23,$BC$6:$BC$53,INDEX(T_Equipos[Grupo],MATCH(BD23,T_Equipos[NombreEquipo],0)))&amp;")")</f>
        <v>P.1 (4)</v>
      </c>
      <c r="CT23" s="16">
        <f t="shared" ca="1" si="35"/>
        <v>0</v>
      </c>
      <c r="CU23" s="16">
        <f ca="1">CR23+COUNTIFS($CS$6:$CS$53,CS23,$CT$6:CT$53,"&gt;"&amp;CT23,$BC$6:$BC$53,INDEX(T_Equipos[Grupo],MATCH(BD23,T_Equipos[NombreEquipo],0)))</f>
        <v>1</v>
      </c>
      <c r="CV23" s="16" t="str">
        <f ca="1">IF(COUNTIFS($CU$6:$CU$53,CU23,$BC$6:$BC$53,INDEX(T_Equipos[Grupo],MATCH(BD23,T_Equipos[NombreEquipo],0)))=1,"-","P."&amp;CU23&amp;" ("&amp;COUNTIFS($CU$6:$CU$53,CU23,$BC$6:$BC$53,INDEX(T_Equipos[Grupo],MATCH(BD23,T_Equipos[NombreEquipo],0)))&amp;")")</f>
        <v>P.1 (4)</v>
      </c>
      <c r="CW23" s="16">
        <f t="shared" ca="1" si="36"/>
        <v>0</v>
      </c>
      <c r="CX23" s="16">
        <f ca="1">CU23+COUNTIFS($CV$6:$CV$53,CV23,$CW$6:CW$53,"&gt;"&amp;CW23,$BC$6:$BC$53,INDEX(T_Equipos[Grupo],MATCH(BD23,T_Equipos[NombreEquipo],0)))</f>
        <v>1</v>
      </c>
      <c r="CY23" s="16" t="str">
        <f ca="1">IF(COUNTIFS($CX$6:$CX$53,CX23,$BC$6:$BC$53,INDEX(T_Equipos[Grupo],MATCH(BD23,T_Equipos[NombreEquipo],0)))=1,"-","P."&amp;CX23&amp;" ("&amp;COUNTIFS($CX$6:$CX$53,CX23,$BC$6:$BC$53,INDEX(T_Equipos[Grupo],MATCH(BD23,T_Equipos[NombreEquipo],0)))&amp;")")</f>
        <v>P.1 (4)</v>
      </c>
      <c r="CZ23" s="16">
        <f t="shared" ca="1" si="37"/>
        <v>0</v>
      </c>
      <c r="DA23" s="16">
        <f ca="1">CX23+COUNTIFS($CY$6:$CY$53,CY23,$CZ$6:CZ$53,"&gt;"&amp;CZ23,$BC$6:$BC$53,INDEX(T_Equipos[Grupo],MATCH(BD23,T_Equipos[NombreEquipo],0)))</f>
        <v>1</v>
      </c>
      <c r="DB23" s="16" t="str">
        <f ca="1">IF(COUNTIFS($DA$6:$DA$53,DA23,$BC$6:$BC$53,INDEX(T_Equipos[Grupo],MATCH(BD23,T_Equipos[NombreEquipo],0)))=1,"-","P."&amp;DA23&amp;" ("&amp;COUNTIFS($DA$6:$DA$53,DA23,$BC$6:$BC$53,INDEX(T_Equipos[Grupo],MATCH(BD23,T_Equipos[NombreEquipo],0)))&amp;")")</f>
        <v>P.1 (4)</v>
      </c>
      <c r="DC23" s="16">
        <f ca="1">IF(DB23="-","-",COUNTIFS(T_Equipos[Rank],"&lt;"&amp;INDEX(T_Equipos[Rank],MATCH(BD23,T_Equipos[NombreEquipo],0)),$BC$6:$BC$53,INDEX(T_Equipos[Grupo],MATCH(BD23,T_Equipos[NombreEquipo],0)))+1)</f>
        <v>2</v>
      </c>
      <c r="DD23" s="16">
        <f ca="1">DA23+COUNTIFS($DB$6:$DB$53,DB23,$DC$6:DC$53,"&lt;"&amp;DC23,$BC$6:$BC$53,INDEX(T_Equipos[Grupo],MATCH(BD23,T_Equipos[NombreEquipo],0)))</f>
        <v>2</v>
      </c>
      <c r="DE23" s="16"/>
      <c r="DF23" s="16">
        <f t="shared" ca="1" si="52"/>
        <v>2</v>
      </c>
      <c r="DG23" s="16">
        <f ca="1">IF(DB23="-","-",COUNTIFS(DF$6:DF$53,"&lt;"&amp;DF23,$BC$6:$BC$53,INDEX(T_Equipos[Grupo],MATCH(BD23,T_Equipos[NombreEquipo],0))))</f>
        <v>1</v>
      </c>
      <c r="DH23" s="16">
        <f ca="1">DA23+COUNTIFS(DB$6:DB$53,DB23,DG$6:DG$53,"&lt;"&amp;DG23,$BC$6:$BC$53,INDEX(T_Equipos[Grupo],MATCH(BD23,T_Equipos[NombreEquipo],0)))</f>
        <v>2</v>
      </c>
      <c r="DI23" s="16"/>
      <c r="DJ23" s="16">
        <f t="shared" ca="1" si="38"/>
        <v>1</v>
      </c>
      <c r="DK23" s="16">
        <f t="shared" ca="1" si="39"/>
        <v>0</v>
      </c>
      <c r="DL23" s="16">
        <f t="shared" ca="1" si="40"/>
        <v>1</v>
      </c>
      <c r="DM23" s="16" t="str">
        <f t="shared" ca="1" si="46"/>
        <v>1.1</v>
      </c>
      <c r="DN23" s="16" cm="1">
        <f t="array" aca="1" ref="DN23" ca="1">OFFSET(Horarios!$P$3,DJ23-1,0,DL23,1)</f>
        <v>1</v>
      </c>
      <c r="DO23" s="16"/>
      <c r="DP23" s="16" t="s">
        <v>674</v>
      </c>
      <c r="DQ23" s="16" t="str">
        <f t="shared" ca="1" si="47"/>
        <v>Curaçao</v>
      </c>
    </row>
    <row r="24" spans="1:121" ht="15.95" customHeight="1">
      <c r="A24" s="16" t="str">
        <f ca="1">+Equipos!B13</f>
        <v>Scotland</v>
      </c>
      <c r="B24" s="16"/>
      <c r="C24" s="16"/>
      <c r="D24" s="16" t="str">
        <f t="shared" si="71"/>
        <v>Pendiente</v>
      </c>
      <c r="E24" s="16" t="str">
        <f t="shared" si="72"/>
        <v>-</v>
      </c>
      <c r="F24" s="16" t="str">
        <f t="shared" si="73"/>
        <v>-</v>
      </c>
      <c r="G24" s="16"/>
      <c r="H24" s="16" t="str">
        <f t="shared" si="74"/>
        <v>-</v>
      </c>
      <c r="I24" s="16" t="str">
        <f t="shared" si="75"/>
        <v>-</v>
      </c>
      <c r="J24" s="16"/>
      <c r="K24" s="16" t="str">
        <f t="shared" si="76"/>
        <v>-</v>
      </c>
      <c r="L24" s="16" t="str">
        <f t="shared" si="77"/>
        <v>-</v>
      </c>
      <c r="M24" s="16"/>
      <c r="N24" s="16" t="str">
        <f t="shared" si="78"/>
        <v>-</v>
      </c>
      <c r="O24" s="16" t="str">
        <f t="shared" si="79"/>
        <v>-</v>
      </c>
      <c r="P24" s="16"/>
      <c r="Q24" s="16" t="str">
        <f t="shared" si="80"/>
        <v>-</v>
      </c>
      <c r="R24" s="16" t="str">
        <f t="shared" si="81"/>
        <v>-</v>
      </c>
      <c r="S24" s="16"/>
      <c r="T24" s="16" t="str">
        <f t="shared" si="82"/>
        <v>-</v>
      </c>
      <c r="U24" s="16" t="str">
        <f t="shared" si="83"/>
        <v>-</v>
      </c>
      <c r="V24" s="17"/>
      <c r="W24" s="649"/>
      <c r="X24" s="24">
        <f ca="1">Horarios!C24</f>
        <v>46198</v>
      </c>
      <c r="Y24" s="25">
        <f ca="1">Horarios!C24</f>
        <v>46198</v>
      </c>
      <c r="Z24" s="26" t="str">
        <f>$Z$8</f>
        <v>R3</v>
      </c>
      <c r="AA24" s="27" t="str">
        <f ca="1">A24</f>
        <v>Scotland</v>
      </c>
      <c r="AB24" s="49" t="e" cm="1" vm="12">
        <f t="array" aca="1" ref="AB24" ca="1">Ver_flag_local</f>
        <v>#VALUE!</v>
      </c>
      <c r="AC24" s="50"/>
      <c r="AD24" s="51"/>
      <c r="AE24" s="595" t="e" cm="1" vm="9">
        <f t="array" aca="1" ref="AE24" ca="1">Ver_flag_visit</f>
        <v>#VALUE!</v>
      </c>
      <c r="AF24" s="32" t="str">
        <f ca="1">A21</f>
        <v>Brazil</v>
      </c>
      <c r="AG24" s="323">
        <f t="shared" si="84"/>
        <v>0</v>
      </c>
      <c r="AH24" s="195">
        <v>49</v>
      </c>
      <c r="AI24" s="181" t="str">
        <f t="shared" si="88"/>
        <v>3C</v>
      </c>
      <c r="AJ24" s="42">
        <v>3</v>
      </c>
      <c r="AK24" s="602" t="e" cm="1" vm="11">
        <f t="array" aca="1" ref="AK24" ca="1">Ver_flag_visit</f>
        <v>#VALUE!</v>
      </c>
      <c r="AL24" s="37" t="str">
        <f ca="1">IFERROR(INDEX($BD$6:$BD$53,MATCH(AI24,$BN$6:$BN$53,0)),"")</f>
        <v>Haiti</v>
      </c>
      <c r="AM24" s="38">
        <f t="shared" ca="1" si="87"/>
        <v>0</v>
      </c>
      <c r="AN24" s="39">
        <f t="shared" ca="1" si="87"/>
        <v>0</v>
      </c>
      <c r="AO24" s="39">
        <f t="shared" ca="1" si="87"/>
        <v>0</v>
      </c>
      <c r="AP24" s="39">
        <f t="shared" ca="1" si="87"/>
        <v>0</v>
      </c>
      <c r="AQ24" s="39">
        <f t="shared" ca="1" si="87"/>
        <v>0</v>
      </c>
      <c r="AR24" s="39">
        <f t="shared" ca="1" si="87"/>
        <v>0</v>
      </c>
      <c r="AS24" s="39">
        <f t="shared" ca="1" si="87"/>
        <v>0</v>
      </c>
      <c r="AT24" s="43">
        <f t="shared" ca="1" si="87"/>
        <v>0</v>
      </c>
      <c r="AU24" s="330">
        <f ca="1">INDEX($DL$6:$DL$53,MATCH(AI24,$DP$6:$DP$53,0))</f>
        <v>1</v>
      </c>
      <c r="AV24" s="182" t="str">
        <f ca="1">INDEX($BD$6:$BD$53,MATCH(AI24,$BM$6:$BM$53,0))</f>
        <v>Haiti</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0</v>
      </c>
      <c r="BG24" s="16">
        <f t="shared" ca="1" si="17"/>
        <v>0</v>
      </c>
      <c r="BH24" s="16">
        <f t="shared" ca="1" si="18"/>
        <v>0</v>
      </c>
      <c r="BI24" s="16">
        <f t="shared" ca="1" si="19"/>
        <v>0</v>
      </c>
      <c r="BJ24" s="16">
        <f t="shared" ca="1" si="20"/>
        <v>0</v>
      </c>
      <c r="BK24" s="16">
        <f t="shared" ca="1" si="21"/>
        <v>0</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P.1 (4)</v>
      </c>
      <c r="BU24" s="16">
        <f t="shared" ca="1" si="24"/>
        <v>0</v>
      </c>
      <c r="BV24" s="16">
        <f t="shared" ca="1" si="25"/>
        <v>0</v>
      </c>
      <c r="BW24" s="16">
        <f t="shared" ca="1" si="26"/>
        <v>0</v>
      </c>
      <c r="BX24" s="16">
        <f t="shared" ca="1" si="48"/>
        <v>0</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P.1 (4)</v>
      </c>
      <c r="CA24" s="16">
        <f t="shared" ca="1" si="27"/>
        <v>0</v>
      </c>
      <c r="CB24" s="16">
        <f t="shared" ca="1" si="28"/>
        <v>0</v>
      </c>
      <c r="CC24" s="16">
        <f t="shared" ca="1" si="49"/>
        <v>0</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P.1 (4)</v>
      </c>
      <c r="CF24" s="16">
        <f t="shared" ca="1" si="29"/>
        <v>0</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P.1 (4)</v>
      </c>
      <c r="CI24" s="16">
        <f t="shared" ca="1" si="30"/>
        <v>0</v>
      </c>
      <c r="CJ24" s="16">
        <f t="shared" ca="1" si="31"/>
        <v>0</v>
      </c>
      <c r="CK24" s="16">
        <f t="shared" ca="1" si="32"/>
        <v>0</v>
      </c>
      <c r="CL24" s="16">
        <f t="shared" ca="1" si="50"/>
        <v>0</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P.1 (4)</v>
      </c>
      <c r="CO24" s="16">
        <f t="shared" ca="1" si="33"/>
        <v>0</v>
      </c>
      <c r="CP24" s="16">
        <f t="shared" ca="1" si="34"/>
        <v>0</v>
      </c>
      <c r="CQ24" s="16">
        <f t="shared" ca="1" si="51"/>
        <v>0</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P.1 (4)</v>
      </c>
      <c r="CT24" s="16">
        <f t="shared" ca="1" si="35"/>
        <v>0</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P.1 (4)</v>
      </c>
      <c r="CW24" s="16">
        <f t="shared" ca="1" si="36"/>
        <v>0</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P.1 (4)</v>
      </c>
      <c r="CZ24" s="16">
        <f t="shared" ca="1" si="37"/>
        <v>0</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P.1 (4)</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3</v>
      </c>
      <c r="DE24" s="16"/>
      <c r="DF24" s="16">
        <f t="shared" ca="1" si="52"/>
        <v>3</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1</v>
      </c>
      <c r="DK24" s="16">
        <f t="shared" ca="1" si="39"/>
        <v>0</v>
      </c>
      <c r="DL24" s="16">
        <f t="shared" ca="1" si="40"/>
        <v>1</v>
      </c>
      <c r="DM24" s="16" t="str">
        <f t="shared" ca="1" si="46"/>
        <v>1.1</v>
      </c>
      <c r="DN24" s="16" cm="1">
        <f t="array" aca="1" ref="DN24" ca="1">OFFSET(Horarios!$P$3,DJ24-1,0,DL24,1)</f>
        <v>1</v>
      </c>
      <c r="DO24" s="16"/>
      <c r="DP24" s="16" t="s">
        <v>94</v>
      </c>
      <c r="DQ24" s="16" t="str">
        <f t="shared" ca="1" si="47"/>
        <v>Ivory Coast</v>
      </c>
    </row>
    <row r="25" spans="1:121" ht="15.95" customHeight="1" thickBot="1">
      <c r="A25" s="16"/>
      <c r="B25" s="16"/>
      <c r="C25" s="16"/>
      <c r="D25" s="16" t="str">
        <f t="shared" si="71"/>
        <v>Pendiente</v>
      </c>
      <c r="E25" s="16" t="str">
        <f t="shared" si="72"/>
        <v>-</v>
      </c>
      <c r="F25" s="16" t="str">
        <f t="shared" si="73"/>
        <v>-</v>
      </c>
      <c r="G25" s="16"/>
      <c r="H25" s="16" t="str">
        <f t="shared" si="74"/>
        <v>-</v>
      </c>
      <c r="I25" s="16" t="str">
        <f t="shared" si="75"/>
        <v>-</v>
      </c>
      <c r="J25" s="16"/>
      <c r="K25" s="16" t="str">
        <f t="shared" si="76"/>
        <v>-</v>
      </c>
      <c r="L25" s="16" t="str">
        <f t="shared" si="77"/>
        <v>-</v>
      </c>
      <c r="M25" s="16"/>
      <c r="N25" s="16" t="str">
        <f t="shared" si="78"/>
        <v>-</v>
      </c>
      <c r="O25" s="16" t="str">
        <f t="shared" si="79"/>
        <v>-</v>
      </c>
      <c r="P25" s="16"/>
      <c r="Q25" s="16" t="str">
        <f t="shared" si="80"/>
        <v>-</v>
      </c>
      <c r="R25" s="16" t="str">
        <f t="shared" si="81"/>
        <v>-</v>
      </c>
      <c r="S25" s="16"/>
      <c r="T25" s="16" t="str">
        <f t="shared" si="82"/>
        <v>-</v>
      </c>
      <c r="U25" s="16" t="str">
        <f t="shared" si="83"/>
        <v>-</v>
      </c>
      <c r="V25" s="17"/>
      <c r="W25" s="650"/>
      <c r="X25" s="28">
        <f ca="1">Horarios!C25</f>
        <v>46198</v>
      </c>
      <c r="Y25" s="29">
        <f ca="1">Horarios!C25</f>
        <v>46198</v>
      </c>
      <c r="Z25" s="30" t="str">
        <f>$Z$8</f>
        <v>R3</v>
      </c>
      <c r="AA25" s="31" t="str">
        <f ca="1">A22</f>
        <v>Morocco</v>
      </c>
      <c r="AB25" s="52" t="e" cm="1" vm="10">
        <f t="array" aca="1" ref="AB25" ca="1">Ver_flag_local</f>
        <v>#VALUE!</v>
      </c>
      <c r="AC25" s="53"/>
      <c r="AD25" s="54"/>
      <c r="AE25" s="596" t="e" cm="1" vm="11">
        <f t="array" aca="1" ref="AE25" ca="1">Ver_flag_visit</f>
        <v>#VALUE!</v>
      </c>
      <c r="AF25" s="33" t="str">
        <f ca="1">A23</f>
        <v>Haiti</v>
      </c>
      <c r="AG25" s="323">
        <f t="shared" si="84"/>
        <v>0</v>
      </c>
      <c r="AH25" s="195">
        <v>50</v>
      </c>
      <c r="AI25" s="181" t="str">
        <f t="shared" si="88"/>
        <v>4C</v>
      </c>
      <c r="AJ25" s="44">
        <v>4</v>
      </c>
      <c r="AK25" s="604" t="e" cm="1" vm="12">
        <f t="array" aca="1" ref="AK25" ca="1">Ver_flag_visit</f>
        <v>#VALUE!</v>
      </c>
      <c r="AL25" s="45" t="str">
        <f ca="1">IFERROR(INDEX($BD$6:$BD$53,MATCH(AI25,$BN$6:$BN$53,0)),"")</f>
        <v>Scotland</v>
      </c>
      <c r="AM25" s="46">
        <f t="shared" ca="1" si="87"/>
        <v>0</v>
      </c>
      <c r="AN25" s="47">
        <f t="shared" ca="1" si="87"/>
        <v>0</v>
      </c>
      <c r="AO25" s="47">
        <f t="shared" ca="1" si="87"/>
        <v>0</v>
      </c>
      <c r="AP25" s="47">
        <f t="shared" ca="1" si="87"/>
        <v>0</v>
      </c>
      <c r="AQ25" s="47">
        <f t="shared" ca="1" si="87"/>
        <v>0</v>
      </c>
      <c r="AR25" s="47">
        <f t="shared" ca="1" si="87"/>
        <v>0</v>
      </c>
      <c r="AS25" s="47">
        <f t="shared" ca="1" si="87"/>
        <v>0</v>
      </c>
      <c r="AT25" s="48">
        <f t="shared" ca="1" si="87"/>
        <v>0</v>
      </c>
      <c r="AU25" s="330">
        <f ca="1">INDEX($DL$6:$DL$53,MATCH(AI25,$DP$6:$DP$53,0))</f>
        <v>1</v>
      </c>
      <c r="AV25" s="182" t="str">
        <f ca="1">INDEX($BD$6:$BD$53,MATCH(AI25,$BM$6:$BM$53,0))</f>
        <v>Scotland</v>
      </c>
      <c r="AW25" s="210"/>
      <c r="AX25" s="171"/>
      <c r="AY25" s="205" t="str">
        <f ca="1">+A24</f>
        <v>Scotland</v>
      </c>
      <c r="AZ25" s="206"/>
      <c r="BA25" s="176"/>
      <c r="BC25" s="16" t="str">
        <f ca="1">+INDEX(T_Equipos[Grupo],MATCH(WORLDCUP!BD25,T_Equipos[NombreEquipo],0))</f>
        <v>E</v>
      </c>
      <c r="BD25" s="16" t="str">
        <f ca="1">+Equipos!B21</f>
        <v>Ecuador</v>
      </c>
      <c r="BE25" s="16">
        <f t="shared" ca="1" si="16"/>
        <v>0</v>
      </c>
      <c r="BF25" s="16">
        <f t="shared" ca="1" si="41"/>
        <v>0</v>
      </c>
      <c r="BG25" s="16">
        <f t="shared" ca="1" si="17"/>
        <v>0</v>
      </c>
      <c r="BH25" s="16">
        <f t="shared" ca="1" si="18"/>
        <v>0</v>
      </c>
      <c r="BI25" s="16">
        <f t="shared" ca="1" si="19"/>
        <v>0</v>
      </c>
      <c r="BJ25" s="16">
        <f t="shared" ca="1" si="20"/>
        <v>0</v>
      </c>
      <c r="BK25" s="16">
        <f t="shared" ca="1" si="21"/>
        <v>0</v>
      </c>
      <c r="BL25" s="16">
        <f t="shared" ca="1" si="42"/>
        <v>0</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(4)</v>
      </c>
      <c r="BU25" s="16">
        <f t="shared" ca="1" si="24"/>
        <v>0</v>
      </c>
      <c r="BV25" s="16">
        <f t="shared" ca="1" si="25"/>
        <v>0</v>
      </c>
      <c r="BW25" s="16">
        <f t="shared" ca="1" si="26"/>
        <v>0</v>
      </c>
      <c r="BX25" s="16">
        <f t="shared" ca="1" si="48"/>
        <v>0</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(4)</v>
      </c>
      <c r="CA25" s="16">
        <f t="shared" ca="1" si="27"/>
        <v>0</v>
      </c>
      <c r="CB25" s="16">
        <f t="shared" ca="1" si="28"/>
        <v>0</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(4)</v>
      </c>
      <c r="CF25" s="16">
        <f t="shared" ca="1" si="29"/>
        <v>0</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(4)</v>
      </c>
      <c r="CI25" s="16">
        <f t="shared" ca="1" si="30"/>
        <v>0</v>
      </c>
      <c r="CJ25" s="16">
        <f t="shared" ca="1" si="31"/>
        <v>0</v>
      </c>
      <c r="CK25" s="16">
        <f t="shared" ca="1" si="32"/>
        <v>0</v>
      </c>
      <c r="CL25" s="16">
        <f t="shared" ca="1" si="50"/>
        <v>0</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(4)</v>
      </c>
      <c r="CO25" s="16">
        <f t="shared" ca="1" si="33"/>
        <v>0</v>
      </c>
      <c r="CP25" s="16">
        <f t="shared" ca="1" si="34"/>
        <v>0</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(4)</v>
      </c>
      <c r="CT25" s="16">
        <f t="shared" ca="1" si="35"/>
        <v>0</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(4)</v>
      </c>
      <c r="CW25" s="16">
        <f t="shared" ca="1" si="36"/>
        <v>0</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P.1 (4)</v>
      </c>
      <c r="CZ25" s="16">
        <f t="shared" ca="1" si="37"/>
        <v>0</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P.1 (4)</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4</v>
      </c>
      <c r="DE25" s="16"/>
      <c r="DF25" s="16">
        <f t="shared" ca="1" si="52"/>
        <v>4</v>
      </c>
      <c r="DG25" s="16">
        <f ca="1">IF(DB25="-","-",COUNTIFS(DF$6:DF$53,"&lt;"&amp;DF25,$BC$6:$BC$53,INDEX(T_Equipos[Grupo],MATCH(BD25,T_Equipos[NombreEquipo],0))))</f>
        <v>3</v>
      </c>
      <c r="DH25" s="16">
        <f ca="1">DA25+COUNTIFS(DB$6:DB$53,DB25,DG$6:DG$53,"&lt;"&amp;DG25,$BC$6:$BC$53,INDEX(T_Equipos[Grupo],MATCH(BD25,T_Equipos[NombreEquipo],0)))</f>
        <v>4</v>
      </c>
      <c r="DI25" s="16"/>
      <c r="DJ25" s="16">
        <f t="shared" ca="1" si="38"/>
        <v>1</v>
      </c>
      <c r="DK25" s="16">
        <f t="shared" ca="1" si="39"/>
        <v>0</v>
      </c>
      <c r="DL25" s="16">
        <f t="shared" ca="1" si="40"/>
        <v>1</v>
      </c>
      <c r="DM25" s="16" t="str">
        <f t="shared" ca="1" si="46"/>
        <v>1.1</v>
      </c>
      <c r="DN25" s="16" cm="1">
        <f t="array" aca="1" ref="DN25" ca="1">OFFSET(Horarios!$P$3,DJ25-1,0,DL25,1)</f>
        <v>1</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0</v>
      </c>
      <c r="BF26" s="16">
        <f t="shared" ca="1" si="41"/>
        <v>0</v>
      </c>
      <c r="BG26" s="16">
        <f t="shared" ca="1" si="17"/>
        <v>0</v>
      </c>
      <c r="BH26" s="16">
        <f t="shared" ca="1" si="18"/>
        <v>0</v>
      </c>
      <c r="BI26" s="16">
        <f t="shared" ca="1" si="19"/>
        <v>0</v>
      </c>
      <c r="BJ26" s="16">
        <f t="shared" ca="1" si="20"/>
        <v>0</v>
      </c>
      <c r="BK26" s="16">
        <f t="shared" ca="1" si="21"/>
        <v>0</v>
      </c>
      <c r="BL26" s="16">
        <f t="shared" ca="1" si="42"/>
        <v>0</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0</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(4)</v>
      </c>
      <c r="BU26" s="16">
        <f t="shared" ca="1" si="24"/>
        <v>0</v>
      </c>
      <c r="BV26" s="16">
        <f t="shared" ca="1" si="25"/>
        <v>0</v>
      </c>
      <c r="BW26" s="16">
        <f t="shared" ca="1" si="26"/>
        <v>0</v>
      </c>
      <c r="BX26" s="16">
        <f t="shared" ca="1" si="48"/>
        <v>0</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(4)</v>
      </c>
      <c r="CA26" s="16">
        <f t="shared" ca="1" si="27"/>
        <v>0</v>
      </c>
      <c r="CB26" s="16">
        <f t="shared" ca="1" si="28"/>
        <v>0</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(4)</v>
      </c>
      <c r="CF26" s="16">
        <f t="shared" ca="1" si="29"/>
        <v>0</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(4)</v>
      </c>
      <c r="CI26" s="16">
        <f t="shared" ca="1" si="30"/>
        <v>0</v>
      </c>
      <c r="CJ26" s="16">
        <f t="shared" ca="1" si="31"/>
        <v>0</v>
      </c>
      <c r="CK26" s="16">
        <f t="shared" ca="1" si="32"/>
        <v>0</v>
      </c>
      <c r="CL26" s="16">
        <f t="shared" ca="1" si="50"/>
        <v>0</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(4)</v>
      </c>
      <c r="CO26" s="16">
        <f t="shared" ca="1" si="33"/>
        <v>0</v>
      </c>
      <c r="CP26" s="16">
        <f t="shared" ca="1" si="34"/>
        <v>0</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(4)</v>
      </c>
      <c r="CT26" s="16">
        <f t="shared" ca="1" si="35"/>
        <v>0</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(4)</v>
      </c>
      <c r="CW26" s="16">
        <f t="shared" ca="1" si="36"/>
        <v>0</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(4)</v>
      </c>
      <c r="CZ26" s="16">
        <f t="shared" ca="1" si="37"/>
        <v>0</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(4)</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0</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0</v>
      </c>
      <c r="BF27" s="16">
        <f t="shared" ca="1" si="41"/>
        <v>0</v>
      </c>
      <c r="BG27" s="16">
        <f t="shared" ca="1" si="17"/>
        <v>0</v>
      </c>
      <c r="BH27" s="16">
        <f t="shared" ca="1" si="18"/>
        <v>0</v>
      </c>
      <c r="BI27" s="16">
        <f t="shared" ca="1" si="19"/>
        <v>0</v>
      </c>
      <c r="BJ27" s="16">
        <f t="shared" ca="1" si="20"/>
        <v>0</v>
      </c>
      <c r="BK27" s="16">
        <f t="shared" ca="1" si="21"/>
        <v>0</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0</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(4)</v>
      </c>
      <c r="BU27" s="16">
        <f t="shared" ca="1" si="24"/>
        <v>0</v>
      </c>
      <c r="BV27" s="16">
        <f t="shared" ca="1" si="25"/>
        <v>0</v>
      </c>
      <c r="BW27" s="16">
        <f t="shared" ca="1" si="26"/>
        <v>0</v>
      </c>
      <c r="BX27" s="16">
        <f t="shared" ca="1" si="48"/>
        <v>0</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(4)</v>
      </c>
      <c r="CA27" s="16">
        <f t="shared" ca="1" si="27"/>
        <v>0</v>
      </c>
      <c r="CB27" s="16">
        <f t="shared" ca="1" si="28"/>
        <v>0</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(4)</v>
      </c>
      <c r="CF27" s="16">
        <f t="shared" ca="1" si="29"/>
        <v>0</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(4)</v>
      </c>
      <c r="CI27" s="16">
        <f t="shared" ca="1" si="30"/>
        <v>0</v>
      </c>
      <c r="CJ27" s="16">
        <f t="shared" ca="1" si="31"/>
        <v>0</v>
      </c>
      <c r="CK27" s="16">
        <f t="shared" ca="1" si="32"/>
        <v>0</v>
      </c>
      <c r="CL27" s="16">
        <f t="shared" ca="1" si="50"/>
        <v>0</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(4)</v>
      </c>
      <c r="CO27" s="16">
        <f t="shared" ca="1" si="33"/>
        <v>0</v>
      </c>
      <c r="CP27" s="16">
        <f t="shared" ca="1" si="34"/>
        <v>0</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(4)</v>
      </c>
      <c r="CT27" s="16">
        <f t="shared" ca="1" si="35"/>
        <v>0</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(4)</v>
      </c>
      <c r="CW27" s="16">
        <f t="shared" ca="1" si="36"/>
        <v>0</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(4)</v>
      </c>
      <c r="CZ27" s="16">
        <f t="shared" ca="1" si="37"/>
        <v>0</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P.1 (4)</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1</v>
      </c>
      <c r="DK27" s="16">
        <f t="shared" ca="1" si="39"/>
        <v>0</v>
      </c>
      <c r="DL27" s="16">
        <f t="shared" ca="1" si="40"/>
        <v>1</v>
      </c>
      <c r="DM27" s="16" t="str">
        <f t="shared" ca="1" si="46"/>
        <v>1.1</v>
      </c>
      <c r="DN27" s="16" cm="1">
        <f t="array" aca="1" ref="DN27" ca="1">OFFSET(Horarios!$P$3,DJ27-1,0,DL27,1)</f>
        <v>1</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Pendiente</v>
      </c>
      <c r="E28" s="16" t="str">
        <f t="shared" ref="E28:E33" si="92">IF(D28="Pendiente","-",INDEX($BT$6:$BT$53,MATCH($AA28,$BD$6:$BD$53,0)))</f>
        <v>-</v>
      </c>
      <c r="F28" s="16" t="str">
        <f t="shared" ref="F28:F33" si="93">IF(D28="Pendiente","-",INDEX($BT$6:$BT$53,MATCH($AF28,$BD$6:$BD$53,0)))</f>
        <v>-</v>
      </c>
      <c r="G28" s="16"/>
      <c r="H28" s="16" t="str">
        <f t="shared" ref="H28:H33" si="94">IF(D28="Pendiente","-",INDEX($BZ$6:$BZ$53,MATCH($AA28,$BD$6:$BD$53,0)))</f>
        <v>-</v>
      </c>
      <c r="I28" s="16" t="str">
        <f t="shared" ref="I28:I33" si="95">IF(D28="Pendiente","-",INDEX($BZ$6:$BZ$53,MATCH($AF28,$BD$6:$BD$53,0)))</f>
        <v>-</v>
      </c>
      <c r="J28" s="16"/>
      <c r="K28" s="16" t="str">
        <f t="shared" ref="K28:K33" si="96">IF(D28="Pendiente","-",INDEX($CE$6:$CE$53,MATCH($AA28,$BD$6:$BD$53,0)))</f>
        <v>-</v>
      </c>
      <c r="L28" s="16" t="str">
        <f t="shared" ref="L28:L33" si="97">IF(D28="Pendiente","-",INDEX($CE$6:$CE$53,MATCH($AF28,$BD$6:$BD$53,0)))</f>
        <v>-</v>
      </c>
      <c r="M28" s="16"/>
      <c r="N28" s="16" t="str">
        <f t="shared" ref="N28:N33" si="98">IF(D28="Pendiente","-",INDEX($CH$6:$CH$53,MATCH($AA28,$BD$6:$BD$53,0)))</f>
        <v>-</v>
      </c>
      <c r="O28" s="16" t="str">
        <f t="shared" ref="O28:O33" si="99">IF(D28="Pendiente","-",INDEX($CH$6:$CH$53,MATCH($AF28,$BD$6:$BD$53,0)))</f>
        <v>-</v>
      </c>
      <c r="P28" s="16"/>
      <c r="Q28" s="16" t="str">
        <f t="shared" ref="Q28:Q33" si="100">IF(D28="Pendiente","-",INDEX($CN$6:$CN$53,MATCH($AA28,$BD$6:$BD$53,0)))</f>
        <v>-</v>
      </c>
      <c r="R28" s="16" t="str">
        <f t="shared" ref="R28:R33" si="101">IF(D28="Pendiente","-",INDEX($CN$6:$CN$53,MATCH($AF28,$BD$6:$BD$53,0)))</f>
        <v>-</v>
      </c>
      <c r="S28" s="16"/>
      <c r="T28" s="16" t="str">
        <f t="shared" ref="T28:T33" si="102">IF(D28="Pendiente","-",INDEX($CS$6:$CS$53,MATCH($AA28,$BD$6:$BD$53,0)))</f>
        <v>-</v>
      </c>
      <c r="U28" s="16" t="str">
        <f t="shared" ref="U28:U33" si="103">IF(D28="Pendiente","-",INDEX($CS$6:$CS$53,MATCH($AF28,$BD$6:$BD$53,0)))</f>
        <v>-</v>
      </c>
      <c r="V28" s="17"/>
      <c r="W28" s="651" t="s">
        <v>74</v>
      </c>
      <c r="X28" s="24">
        <f ca="1">Horarios!C28</f>
        <v>46186.125</v>
      </c>
      <c r="Y28" s="25">
        <f ca="1">Horarios!C28</f>
        <v>46186.125</v>
      </c>
      <c r="Z28" s="26" t="str">
        <f>$Z$4</f>
        <v>R1</v>
      </c>
      <c r="AA28" s="27" t="str">
        <f ca="1">A29</f>
        <v>United States</v>
      </c>
      <c r="AB28" s="49" t="e" cm="1" vm="13">
        <f t="array" aca="1" ref="AB28" ca="1">Ver_flag_local</f>
        <v>#VALUE!</v>
      </c>
      <c r="AC28" s="50"/>
      <c r="AD28" s="51"/>
      <c r="AE28" s="595" t="e" cm="1" vm="14">
        <f t="array" aca="1" ref="AE28" ca="1">Ver_flag_visit</f>
        <v>#VALUE!</v>
      </c>
      <c r="AF28" s="32" t="str">
        <f ca="1">A30</f>
        <v>Paraguay</v>
      </c>
      <c r="AG28" s="323">
        <f t="shared" ref="AG28:AG33" si="104">IF(NOT(OR(ISBLANK(AC28),ISBLANK(AD28))),1,0)</f>
        <v>0</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0</v>
      </c>
      <c r="BF28" s="16">
        <f t="shared" ca="1" si="41"/>
        <v>0</v>
      </c>
      <c r="BG28" s="16">
        <f t="shared" ca="1" si="17"/>
        <v>0</v>
      </c>
      <c r="BH28" s="16">
        <f t="shared" ca="1" si="18"/>
        <v>0</v>
      </c>
      <c r="BI28" s="16">
        <f t="shared" ca="1" si="19"/>
        <v>0</v>
      </c>
      <c r="BJ28" s="16">
        <f t="shared" ca="1" si="20"/>
        <v>0</v>
      </c>
      <c r="BK28" s="16">
        <f t="shared" ca="1" si="21"/>
        <v>0</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0</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(4)</v>
      </c>
      <c r="BU28" s="16">
        <f t="shared" ca="1" si="24"/>
        <v>0</v>
      </c>
      <c r="BV28" s="16">
        <f t="shared" ca="1" si="25"/>
        <v>0</v>
      </c>
      <c r="BW28" s="16">
        <f t="shared" ca="1" si="26"/>
        <v>0</v>
      </c>
      <c r="BX28" s="16">
        <f t="shared" ca="1" si="48"/>
        <v>0</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(4)</v>
      </c>
      <c r="CA28" s="16">
        <f t="shared" ca="1" si="27"/>
        <v>0</v>
      </c>
      <c r="CB28" s="16">
        <f t="shared" ca="1" si="28"/>
        <v>0</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(4)</v>
      </c>
      <c r="CF28" s="16">
        <f t="shared" ca="1" si="29"/>
        <v>0</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(4)</v>
      </c>
      <c r="CI28" s="16">
        <f t="shared" ca="1" si="30"/>
        <v>0</v>
      </c>
      <c r="CJ28" s="16">
        <f t="shared" ca="1" si="31"/>
        <v>0</v>
      </c>
      <c r="CK28" s="16">
        <f t="shared" ca="1" si="32"/>
        <v>0</v>
      </c>
      <c r="CL28" s="16">
        <f t="shared" ca="1" si="50"/>
        <v>0</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(4)</v>
      </c>
      <c r="CO28" s="16">
        <f t="shared" ca="1" si="33"/>
        <v>0</v>
      </c>
      <c r="CP28" s="16">
        <f t="shared" ca="1" si="34"/>
        <v>0</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(4)</v>
      </c>
      <c r="CT28" s="16">
        <f t="shared" ca="1" si="35"/>
        <v>0</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(4)</v>
      </c>
      <c r="CW28" s="16">
        <f t="shared" ca="1" si="36"/>
        <v>0</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(4)</v>
      </c>
      <c r="CZ28" s="16">
        <f t="shared" ca="1" si="37"/>
        <v>0</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(4)</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1</v>
      </c>
      <c r="DK28" s="16">
        <f t="shared" ca="1" si="39"/>
        <v>0</v>
      </c>
      <c r="DL28" s="16">
        <f t="shared" ca="1" si="40"/>
        <v>1</v>
      </c>
      <c r="DM28" s="16" t="str">
        <f t="shared" ca="1" si="46"/>
        <v>1.1</v>
      </c>
      <c r="DN28" s="16" cm="1">
        <f t="array" aca="1" ref="DN28" ca="1">OFFSET(Horarios!$P$3,DJ28-1,0,DL28,1)</f>
        <v>1</v>
      </c>
      <c r="DO28" s="16"/>
      <c r="DP28" s="16" t="s">
        <v>95</v>
      </c>
      <c r="DQ28" s="16" t="str">
        <f t="shared" ca="1" si="47"/>
        <v>Sweden</v>
      </c>
    </row>
    <row r="29" spans="1:121" ht="15.95" customHeight="1">
      <c r="A29" s="16" t="str">
        <f ca="1">+Equipos!B14</f>
        <v>United States</v>
      </c>
      <c r="B29" s="16"/>
      <c r="C29" s="16"/>
      <c r="D29" s="16" t="str">
        <f t="shared" si="91"/>
        <v>Pendiente</v>
      </c>
      <c r="E29" s="16" t="str">
        <f t="shared" si="92"/>
        <v>-</v>
      </c>
      <c r="F29" s="16" t="str">
        <f t="shared" si="93"/>
        <v>-</v>
      </c>
      <c r="G29" s="16"/>
      <c r="H29" s="16" t="str">
        <f t="shared" si="94"/>
        <v>-</v>
      </c>
      <c r="I29" s="16" t="str">
        <f t="shared" si="95"/>
        <v>-</v>
      </c>
      <c r="J29" s="16"/>
      <c r="K29" s="16" t="str">
        <f t="shared" si="96"/>
        <v>-</v>
      </c>
      <c r="L29" s="16" t="str">
        <f t="shared" si="97"/>
        <v>-</v>
      </c>
      <c r="M29" s="16"/>
      <c r="N29" s="16" t="str">
        <f t="shared" si="98"/>
        <v>-</v>
      </c>
      <c r="O29" s="16" t="str">
        <f t="shared" si="99"/>
        <v>-</v>
      </c>
      <c r="P29" s="16"/>
      <c r="Q29" s="16" t="str">
        <f t="shared" si="100"/>
        <v>-</v>
      </c>
      <c r="R29" s="16" t="str">
        <f t="shared" si="101"/>
        <v>-</v>
      </c>
      <c r="S29" s="16"/>
      <c r="T29" s="16" t="str">
        <f t="shared" si="102"/>
        <v>-</v>
      </c>
      <c r="U29" s="16" t="str">
        <f t="shared" si="103"/>
        <v>-</v>
      </c>
      <c r="V29" s="17"/>
      <c r="W29" s="651"/>
      <c r="X29" s="24">
        <f ca="1">Horarios!C29</f>
        <v>46187.25</v>
      </c>
      <c r="Y29" s="25">
        <f ca="1">Horarios!C29</f>
        <v>46187.25</v>
      </c>
      <c r="Z29" s="26" t="str">
        <f>$Z$4</f>
        <v>R1</v>
      </c>
      <c r="AA29" s="27" t="str">
        <f ca="1">A31</f>
        <v>Australia</v>
      </c>
      <c r="AB29" s="49" t="e" cm="1" vm="15">
        <f t="array" aca="1" ref="AB29" ca="1">Ver_flag_local</f>
        <v>#VALUE!</v>
      </c>
      <c r="AC29" s="50"/>
      <c r="AD29" s="51"/>
      <c r="AE29" s="595" t="e" cm="1" vm="16">
        <f t="array" aca="1" ref="AE29" ca="1">Ver_flag_visit</f>
        <v>#VALUE!</v>
      </c>
      <c r="AF29" s="32" t="str">
        <f ca="1">A32</f>
        <v>Turkey</v>
      </c>
      <c r="AG29" s="323">
        <f t="shared" si="104"/>
        <v>0</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0</v>
      </c>
      <c r="BG29" s="16">
        <f t="shared" ca="1" si="17"/>
        <v>0</v>
      </c>
      <c r="BH29" s="16">
        <f t="shared" ca="1" si="18"/>
        <v>0</v>
      </c>
      <c r="BI29" s="16">
        <f t="shared" ca="1" si="19"/>
        <v>0</v>
      </c>
      <c r="BJ29" s="16">
        <f t="shared" ca="1" si="20"/>
        <v>0</v>
      </c>
      <c r="BK29" s="16">
        <f t="shared" ca="1" si="21"/>
        <v>0</v>
      </c>
      <c r="BL29" s="16">
        <f t="shared" ca="1" si="42"/>
        <v>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1</v>
      </c>
      <c r="BT29" s="16" t="str">
        <f ca="1">IF(COUNTIFS($BS$6:$BS$53,BS29,$BC$6:$BC$53,INDEX(T_Equipos[Grupo],MATCH(BD29,T_Equipos[NombreEquipo],0)))=1,"-","P."&amp;BS29&amp;" ("&amp;COUNTIFS($BS$6:$BS$53,BS29,$BC$6:$BC$53,INDEX(T_Equipos[Grupo],MATCH(BD29,T_Equipos[NombreEquipo],0)))&amp;")")</f>
        <v>P.1 (4)</v>
      </c>
      <c r="BU29" s="16">
        <f t="shared" ca="1" si="24"/>
        <v>0</v>
      </c>
      <c r="BV29" s="16">
        <f t="shared" ca="1" si="25"/>
        <v>0</v>
      </c>
      <c r="BW29" s="16">
        <f t="shared" ca="1" si="26"/>
        <v>0</v>
      </c>
      <c r="BX29" s="16">
        <f t="shared" ca="1" si="48"/>
        <v>0</v>
      </c>
      <c r="BY29" s="16">
        <f ca="1">BS29+COUNTIFS($BT$6:$BT$53,BT29,$BX$6:BX$53,"&gt;"&amp;BX29,$BC$6:$BC$53,INDEX(T_Equipos[Grupo],MATCH(BD29,T_Equipos[NombreEquipo],0)))</f>
        <v>1</v>
      </c>
      <c r="BZ29" s="16" t="str">
        <f ca="1">IF(COUNTIFS($BY$6:$BY$53,BY29,$BC$6:$BC$53,INDEX(T_Equipos[Grupo],MATCH(BD29,T_Equipos[NombreEquipo],0)))=1,"-","P."&amp;BY29&amp;" ("&amp;COUNTIFS($BY$6:$BY$53,BY29,$BC$6:$BC$53,INDEX(T_Equipos[Grupo],MATCH(BD29,T_Equipos[NombreEquipo],0)))&amp;")")</f>
        <v>P.1 (4)</v>
      </c>
      <c r="CA29" s="16">
        <f t="shared" ca="1" si="27"/>
        <v>0</v>
      </c>
      <c r="CB29" s="16">
        <f t="shared" ca="1" si="28"/>
        <v>0</v>
      </c>
      <c r="CC29" s="16">
        <f t="shared" ca="1" si="49"/>
        <v>0</v>
      </c>
      <c r="CD29" s="16">
        <f ca="1">BY29+COUNTIFS($BZ$6:$BZ$53,BZ29,$CC$6:CC$53,"&gt;"&amp;CC29,$BC$6:$BC$53,INDEX(T_Equipos[Grupo],MATCH(BD29,T_Equipos[NombreEquipo],0)))</f>
        <v>1</v>
      </c>
      <c r="CE29" s="16" t="str">
        <f ca="1">IF(COUNTIFS($CD$6:$CD$53,CD29,$BC$6:$BC$53,INDEX(T_Equipos[Grupo],MATCH(BD29,T_Equipos[NombreEquipo],0)))=1,"-","P."&amp;CD29&amp;" ("&amp;COUNTIFS($CD$6:$CD$53,CD29,$BC$6:$BC$53,INDEX(T_Equipos[Grupo],MATCH(BD29,T_Equipos[NombreEquipo],0)))&amp;")")</f>
        <v>P.1 (4)</v>
      </c>
      <c r="CF29" s="16">
        <f t="shared" ca="1" si="29"/>
        <v>0</v>
      </c>
      <c r="CG29" s="16">
        <f ca="1">CD29+COUNTIFS($CE$6:$CE$53,CE29,$CF$6:CF$53,"&gt;"&amp;CF29,$BC$6:$BC$53,INDEX(T_Equipos[Grupo],MATCH(BD29,T_Equipos[NombreEquipo],0)))</f>
        <v>1</v>
      </c>
      <c r="CH29" s="16" t="str">
        <f ca="1">IF(COUNTIFS($CG$6:$CG$53,CG29,$BC$6:$BC$53,INDEX(T_Equipos[Grupo],MATCH(BD29,T_Equipos[NombreEquipo],0)))=1,"-","P."&amp;CG29&amp;" ("&amp;COUNTIFS($CG$6:$CG$53,CG29,$BC$6:$BC$53,INDEX(T_Equipos[Grupo],MATCH(BD29,T_Equipos[NombreEquipo],0)))&amp;")")</f>
        <v>P.1 (4)</v>
      </c>
      <c r="CI29" s="16">
        <f t="shared" ca="1" si="30"/>
        <v>0</v>
      </c>
      <c r="CJ29" s="16">
        <f t="shared" ca="1" si="31"/>
        <v>0</v>
      </c>
      <c r="CK29" s="16">
        <f t="shared" ca="1" si="32"/>
        <v>0</v>
      </c>
      <c r="CL29" s="16">
        <f t="shared" ca="1" si="50"/>
        <v>0</v>
      </c>
      <c r="CM29" s="16">
        <f ca="1">CG29+COUNTIFS($CH$6:$CH$53,CH29,$CL$6:CL$53,"&gt;"&amp;CL29,$BC$6:$BC$53,INDEX(T_Equipos[Grupo],MATCH(BD29,T_Equipos[NombreEquipo],0)))</f>
        <v>1</v>
      </c>
      <c r="CN29" s="16" t="str">
        <f ca="1">IF(COUNTIFS($CM$6:$CM$53,CM29,$BC$6:$BC$53,INDEX(T_Equipos[Grupo],MATCH(BD29,T_Equipos[NombreEquipo],0)))=1,"-","P."&amp;CM29&amp;" ("&amp;COUNTIFS($CM$6:$CM$53,CM29,$BC$6:$BC$53,INDEX(T_Equipos[Grupo],MATCH(BD29,T_Equipos[NombreEquipo],0)))&amp;")")</f>
        <v>P.1 (4)</v>
      </c>
      <c r="CO29" s="16">
        <f t="shared" ca="1" si="33"/>
        <v>0</v>
      </c>
      <c r="CP29" s="16">
        <f t="shared" ca="1" si="34"/>
        <v>0</v>
      </c>
      <c r="CQ29" s="16">
        <f t="shared" ca="1" si="51"/>
        <v>0</v>
      </c>
      <c r="CR29" s="16">
        <f ca="1">CM29+COUNTIFS($CN$6:$CN$53,CN29,$CQ$6:CQ$53,"&gt;"&amp;CQ29,$BC$6:$BC$53,INDEX(T_Equipos[Grupo],MATCH(BD29,T_Equipos[NombreEquipo],0)))</f>
        <v>1</v>
      </c>
      <c r="CS29" s="16" t="str">
        <f ca="1">IF(COUNTIFS($CR$6:$CR$53,CR29,$BC$6:$BC$53,INDEX(T_Equipos[Grupo],MATCH(BD29,T_Equipos[NombreEquipo],0)))=1,"-","P."&amp;CR29&amp;" ("&amp;COUNTIFS($CR$6:$CR$53,CR29,$BC$6:$BC$53,INDEX(T_Equipos[Grupo],MATCH(BD29,T_Equipos[NombreEquipo],0)))&amp;")")</f>
        <v>P.1 (4)</v>
      </c>
      <c r="CT29" s="16">
        <f t="shared" ca="1" si="35"/>
        <v>0</v>
      </c>
      <c r="CU29" s="16">
        <f ca="1">CR29+COUNTIFS($CS$6:$CS$53,CS29,$CT$6:CT$53,"&gt;"&amp;CT29,$BC$6:$BC$53,INDEX(T_Equipos[Grupo],MATCH(BD29,T_Equipos[NombreEquipo],0)))</f>
        <v>1</v>
      </c>
      <c r="CV29" s="16" t="str">
        <f ca="1">IF(COUNTIFS($CU$6:$CU$53,CU29,$BC$6:$BC$53,INDEX(T_Equipos[Grupo],MATCH(BD29,T_Equipos[NombreEquipo],0)))=1,"-","P."&amp;CU29&amp;" ("&amp;COUNTIFS($CU$6:$CU$53,CU29,$BC$6:$BC$53,INDEX(T_Equipos[Grupo],MATCH(BD29,T_Equipos[NombreEquipo],0)))&amp;")")</f>
        <v>P.1 (4)</v>
      </c>
      <c r="CW29" s="16">
        <f t="shared" ca="1" si="36"/>
        <v>0</v>
      </c>
      <c r="CX29" s="16">
        <f ca="1">CU29+COUNTIFS($CV$6:$CV$53,CV29,$CW$6:CW$53,"&gt;"&amp;CW29,$BC$6:$BC$53,INDEX(T_Equipos[Grupo],MATCH(BD29,T_Equipos[NombreEquipo],0)))</f>
        <v>1</v>
      </c>
      <c r="CY29" s="16" t="str">
        <f ca="1">IF(COUNTIFS($CX$6:$CX$53,CX29,$BC$6:$BC$53,INDEX(T_Equipos[Grupo],MATCH(BD29,T_Equipos[NombreEquipo],0)))=1,"-","P."&amp;CX29&amp;" ("&amp;COUNTIFS($CX$6:$CX$53,CX29,$BC$6:$BC$53,INDEX(T_Equipos[Grupo],MATCH(BD29,T_Equipos[NombreEquipo],0)))&amp;")")</f>
        <v>P.1 (4)</v>
      </c>
      <c r="CZ29" s="16">
        <f t="shared" ca="1" si="37"/>
        <v>0</v>
      </c>
      <c r="DA29" s="16">
        <f ca="1">CX29+COUNTIFS($CY$6:$CY$53,CY29,$CZ$6:CZ$53,"&gt;"&amp;CZ29,$BC$6:$BC$53,INDEX(T_Equipos[Grupo],MATCH(BD29,T_Equipos[NombreEquipo],0)))</f>
        <v>1</v>
      </c>
      <c r="DB29" s="16" t="str">
        <f ca="1">IF(COUNTIFS($DA$6:$DA$53,DA29,$BC$6:$BC$53,INDEX(T_Equipos[Grupo],MATCH(BD29,T_Equipos[NombreEquipo],0)))=1,"-","P."&amp;DA29&amp;" ("&amp;COUNTIFS($DA$6:$DA$53,DA29,$BC$6:$BC$53,INDEX(T_Equipos[Grupo],MATCH(BD29,T_Equipos[NombreEquipo],0)))&amp;")")</f>
        <v>P.1 (4)</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1</v>
      </c>
      <c r="DK29" s="16">
        <f t="shared" ca="1" si="39"/>
        <v>0</v>
      </c>
      <c r="DL29" s="16">
        <f t="shared" ca="1" si="40"/>
        <v>1</v>
      </c>
      <c r="DM29" s="16" t="str">
        <f t="shared" ca="1" si="46"/>
        <v>1.1</v>
      </c>
      <c r="DN29" s="16" cm="1">
        <f t="array" aca="1" ref="DN29" ca="1">OFFSET(Horarios!$P$3,DJ29-1,0,DL29,1)</f>
        <v>1</v>
      </c>
      <c r="DO29" s="16"/>
      <c r="DP29" s="16" t="s">
        <v>678</v>
      </c>
      <c r="DQ29" s="16" t="str">
        <f t="shared" ca="1" si="47"/>
        <v>Tunisia</v>
      </c>
    </row>
    <row r="30" spans="1:121" ht="15.95" customHeight="1">
      <c r="A30" s="16" t="str">
        <f ca="1">+Equipos!B15</f>
        <v>Paraguay</v>
      </c>
      <c r="B30" s="16"/>
      <c r="C30" s="16"/>
      <c r="D30" s="16" t="str">
        <f t="shared" si="91"/>
        <v>Pendiente</v>
      </c>
      <c r="E30" s="16" t="str">
        <f t="shared" si="92"/>
        <v>-</v>
      </c>
      <c r="F30" s="16" t="str">
        <f t="shared" si="93"/>
        <v>-</v>
      </c>
      <c r="G30" s="16"/>
      <c r="H30" s="16" t="str">
        <f t="shared" si="94"/>
        <v>-</v>
      </c>
      <c r="I30" s="16" t="str">
        <f t="shared" si="95"/>
        <v>-</v>
      </c>
      <c r="J30" s="16"/>
      <c r="K30" s="16" t="str">
        <f t="shared" si="96"/>
        <v>-</v>
      </c>
      <c r="L30" s="16" t="str">
        <f t="shared" si="97"/>
        <v>-</v>
      </c>
      <c r="M30" s="16"/>
      <c r="N30" s="16" t="str">
        <f t="shared" si="98"/>
        <v>-</v>
      </c>
      <c r="O30" s="16" t="str">
        <f t="shared" si="99"/>
        <v>-</v>
      </c>
      <c r="P30" s="16"/>
      <c r="Q30" s="16" t="str">
        <f t="shared" si="100"/>
        <v>-</v>
      </c>
      <c r="R30" s="16" t="str">
        <f t="shared" si="101"/>
        <v>-</v>
      </c>
      <c r="S30" s="16"/>
      <c r="T30" s="16" t="str">
        <f t="shared" si="102"/>
        <v>-</v>
      </c>
      <c r="U30" s="16" t="str">
        <f t="shared" si="103"/>
        <v>-</v>
      </c>
      <c r="V30" s="17"/>
      <c r="W30" s="651"/>
      <c r="X30" s="24">
        <f ca="1">Horarios!C30</f>
        <v>46192.875</v>
      </c>
      <c r="Y30" s="25">
        <f ca="1">Horarios!C30</f>
        <v>46192.875</v>
      </c>
      <c r="Z30" s="26" t="str">
        <f>$Z$6</f>
        <v>R2</v>
      </c>
      <c r="AA30" s="27" t="str">
        <f ca="1">A29</f>
        <v>United States</v>
      </c>
      <c r="AB30" s="49" t="e" cm="1" vm="13">
        <f t="array" aca="1" ref="AB30" ca="1">Ver_flag_local</f>
        <v>#VALUE!</v>
      </c>
      <c r="AC30" s="50"/>
      <c r="AD30" s="51"/>
      <c r="AE30" s="595" t="e" cm="1" vm="15">
        <f t="array" aca="1" ref="AE30" ca="1">Ver_flag_visit</f>
        <v>#VALUE!</v>
      </c>
      <c r="AF30" s="32" t="str">
        <f ca="1">A31</f>
        <v>Australia</v>
      </c>
      <c r="AG30" s="323">
        <f t="shared" si="104"/>
        <v>0</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0</v>
      </c>
      <c r="AN30" s="36">
        <f t="shared" ca="1" si="107"/>
        <v>0</v>
      </c>
      <c r="AO30" s="36">
        <f t="shared" ca="1" si="107"/>
        <v>0</v>
      </c>
      <c r="AP30" s="36">
        <f t="shared" ca="1" si="107"/>
        <v>0</v>
      </c>
      <c r="AQ30" s="36">
        <f t="shared" ca="1" si="107"/>
        <v>0</v>
      </c>
      <c r="AR30" s="36">
        <f t="shared" ca="1" si="107"/>
        <v>0</v>
      </c>
      <c r="AS30" s="36">
        <f t="shared" ca="1" si="107"/>
        <v>0</v>
      </c>
      <c r="AT30" s="41">
        <f t="shared" ca="1" si="107"/>
        <v>0</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0</v>
      </c>
      <c r="BF30" s="16">
        <f t="shared" ca="1" si="41"/>
        <v>0</v>
      </c>
      <c r="BG30" s="16">
        <f t="shared" ca="1" si="17"/>
        <v>0</v>
      </c>
      <c r="BH30" s="16">
        <f t="shared" ca="1" si="18"/>
        <v>0</v>
      </c>
      <c r="BI30" s="16">
        <f t="shared" ca="1" si="19"/>
        <v>0</v>
      </c>
      <c r="BJ30" s="16">
        <f t="shared" ca="1" si="20"/>
        <v>0</v>
      </c>
      <c r="BK30" s="16">
        <f t="shared" ca="1" si="21"/>
        <v>0</v>
      </c>
      <c r="BL30" s="16">
        <f t="shared" ca="1" si="42"/>
        <v>0</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0</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(4)</v>
      </c>
      <c r="BU30" s="16">
        <f t="shared" ca="1" si="24"/>
        <v>0</v>
      </c>
      <c r="BV30" s="16">
        <f t="shared" ca="1" si="25"/>
        <v>0</v>
      </c>
      <c r="BW30" s="16">
        <f t="shared" ca="1" si="26"/>
        <v>0</v>
      </c>
      <c r="BX30" s="16">
        <f t="shared" ca="1" si="48"/>
        <v>0</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(4)</v>
      </c>
      <c r="CA30" s="16">
        <f t="shared" ca="1" si="27"/>
        <v>0</v>
      </c>
      <c r="CB30" s="16">
        <f t="shared" ca="1" si="28"/>
        <v>0</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(4)</v>
      </c>
      <c r="CF30" s="16">
        <f t="shared" ca="1" si="29"/>
        <v>0</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(4)</v>
      </c>
      <c r="CI30" s="16">
        <f t="shared" ca="1" si="30"/>
        <v>0</v>
      </c>
      <c r="CJ30" s="16">
        <f t="shared" ca="1" si="31"/>
        <v>0</v>
      </c>
      <c r="CK30" s="16">
        <f t="shared" ca="1" si="32"/>
        <v>0</v>
      </c>
      <c r="CL30" s="16">
        <f t="shared" ca="1" si="50"/>
        <v>0</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(4)</v>
      </c>
      <c r="CO30" s="16">
        <f t="shared" ca="1" si="33"/>
        <v>0</v>
      </c>
      <c r="CP30" s="16">
        <f t="shared" ca="1" si="34"/>
        <v>0</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(4)</v>
      </c>
      <c r="CT30" s="16">
        <f t="shared" ca="1" si="35"/>
        <v>0</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(4)</v>
      </c>
      <c r="CW30" s="16">
        <f t="shared" ca="1" si="36"/>
        <v>0</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(4)</v>
      </c>
      <c r="CZ30" s="16">
        <f t="shared" ca="1" si="37"/>
        <v>0</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(4)</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0</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Pendiente</v>
      </c>
      <c r="E31" s="16" t="str">
        <f t="shared" si="92"/>
        <v>-</v>
      </c>
      <c r="F31" s="16" t="str">
        <f t="shared" si="93"/>
        <v>-</v>
      </c>
      <c r="G31" s="16"/>
      <c r="H31" s="16" t="str">
        <f t="shared" si="94"/>
        <v>-</v>
      </c>
      <c r="I31" s="16" t="str">
        <f t="shared" si="95"/>
        <v>-</v>
      </c>
      <c r="J31" s="16"/>
      <c r="K31" s="16" t="str">
        <f t="shared" si="96"/>
        <v>-</v>
      </c>
      <c r="L31" s="16" t="str">
        <f t="shared" si="97"/>
        <v>-</v>
      </c>
      <c r="M31" s="16"/>
      <c r="N31" s="16" t="str">
        <f t="shared" si="98"/>
        <v>-</v>
      </c>
      <c r="O31" s="16" t="str">
        <f t="shared" si="99"/>
        <v>-</v>
      </c>
      <c r="P31" s="16"/>
      <c r="Q31" s="16" t="str">
        <f t="shared" si="100"/>
        <v>-</v>
      </c>
      <c r="R31" s="16" t="str">
        <f t="shared" si="101"/>
        <v>-</v>
      </c>
      <c r="S31" s="16"/>
      <c r="T31" s="16" t="str">
        <f t="shared" si="102"/>
        <v>-</v>
      </c>
      <c r="U31" s="16" t="str">
        <f t="shared"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c r="AD31" s="51"/>
      <c r="AE31" s="595" t="e" cm="1" vm="14">
        <f t="array" aca="1" ref="AE31" ca="1">Ver_flag_visit</f>
        <v>#VALUE!</v>
      </c>
      <c r="AF31" s="32" t="str">
        <f ca="1">A30</f>
        <v>Paraguay</v>
      </c>
      <c r="AG31" s="323">
        <f t="shared" si="104"/>
        <v>0</v>
      </c>
      <c r="AH31" s="195">
        <v>31</v>
      </c>
      <c r="AI31" s="181" t="str">
        <f t="shared" ref="AI31:AI33" si="108">AJ31&amp;$B$28</f>
        <v>2D</v>
      </c>
      <c r="AJ31" s="42">
        <v>2</v>
      </c>
      <c r="AK31" s="602" t="e" cm="1" vm="14">
        <f t="array" aca="1" ref="AK31" ca="1">Ver_flag_visit</f>
        <v>#VALUE!</v>
      </c>
      <c r="AL31" s="37" t="str">
        <f ca="1">IFERROR(INDEX($BD$6:$BD$53,MATCH(AI31,$BN$6:$BN$53,0)),"")</f>
        <v>Paraguay</v>
      </c>
      <c r="AM31" s="38">
        <f t="shared" ca="1" si="107"/>
        <v>0</v>
      </c>
      <c r="AN31" s="39">
        <f t="shared" ca="1" si="107"/>
        <v>0</v>
      </c>
      <c r="AO31" s="39">
        <f t="shared" ca="1" si="107"/>
        <v>0</v>
      </c>
      <c r="AP31" s="39">
        <f t="shared" ca="1" si="107"/>
        <v>0</v>
      </c>
      <c r="AQ31" s="39">
        <f t="shared" ca="1" si="107"/>
        <v>0</v>
      </c>
      <c r="AR31" s="39">
        <f t="shared" ca="1" si="107"/>
        <v>0</v>
      </c>
      <c r="AS31" s="39">
        <f t="shared" ca="1" si="107"/>
        <v>0</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0</v>
      </c>
      <c r="BF31" s="16">
        <f t="shared" ca="1" si="41"/>
        <v>0</v>
      </c>
      <c r="BG31" s="16">
        <f t="shared" ca="1" si="17"/>
        <v>0</v>
      </c>
      <c r="BH31" s="16">
        <f t="shared" ca="1" si="18"/>
        <v>0</v>
      </c>
      <c r="BI31" s="16">
        <f t="shared" ca="1" si="19"/>
        <v>0</v>
      </c>
      <c r="BJ31" s="16">
        <f t="shared" ca="1" si="20"/>
        <v>0</v>
      </c>
      <c r="BK31" s="16">
        <f t="shared" ca="1" si="21"/>
        <v>0</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(4)</v>
      </c>
      <c r="BU31" s="16">
        <f t="shared" ca="1" si="24"/>
        <v>0</v>
      </c>
      <c r="BV31" s="16">
        <f t="shared" ca="1" si="25"/>
        <v>0</v>
      </c>
      <c r="BW31" s="16">
        <f t="shared" ca="1" si="26"/>
        <v>0</v>
      </c>
      <c r="BX31" s="16">
        <f t="shared" ca="1" si="48"/>
        <v>0</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(4)</v>
      </c>
      <c r="CA31" s="16">
        <f t="shared" ca="1" si="27"/>
        <v>0</v>
      </c>
      <c r="CB31" s="16">
        <f t="shared" ca="1" si="28"/>
        <v>0</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(4)</v>
      </c>
      <c r="CF31" s="16">
        <f t="shared" ca="1" si="29"/>
        <v>0</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(4)</v>
      </c>
      <c r="CI31" s="16">
        <f t="shared" ca="1" si="30"/>
        <v>0</v>
      </c>
      <c r="CJ31" s="16">
        <f t="shared" ca="1" si="31"/>
        <v>0</v>
      </c>
      <c r="CK31" s="16">
        <f t="shared" ca="1" si="32"/>
        <v>0</v>
      </c>
      <c r="CL31" s="16">
        <f t="shared" ca="1" si="50"/>
        <v>0</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(4)</v>
      </c>
      <c r="CO31" s="16">
        <f t="shared" ca="1" si="33"/>
        <v>0</v>
      </c>
      <c r="CP31" s="16">
        <f t="shared" ca="1" si="34"/>
        <v>0</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(4)</v>
      </c>
      <c r="CT31" s="16">
        <f t="shared" ca="1" si="35"/>
        <v>0</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(4)</v>
      </c>
      <c r="CW31" s="16">
        <f t="shared" ca="1" si="36"/>
        <v>0</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(4)</v>
      </c>
      <c r="CZ31" s="16">
        <f t="shared" ca="1" si="37"/>
        <v>0</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(4)</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0</v>
      </c>
      <c r="DL31" s="16">
        <f t="shared" ca="1" si="40"/>
        <v>1</v>
      </c>
      <c r="DM31" s="16" t="str">
        <f t="shared" ca="1" si="46"/>
        <v>1.1</v>
      </c>
      <c r="DN31" s="16" cm="1">
        <f t="array" aca="1" ref="DN31" ca="1">OFFSET(Horarios!$P$3,DJ31-1,0,DL31,1)</f>
        <v>1</v>
      </c>
      <c r="DO31" s="16"/>
      <c r="DP31" s="16" t="s">
        <v>680</v>
      </c>
      <c r="DQ31" s="16" t="str">
        <f t="shared" ca="1" si="47"/>
        <v>Egypt</v>
      </c>
    </row>
    <row r="32" spans="1:121" ht="15.95" customHeight="1">
      <c r="A32" s="16" t="str">
        <f ca="1">+Equipos!B17</f>
        <v>Turkey</v>
      </c>
      <c r="B32" s="16"/>
      <c r="C32" s="16"/>
      <c r="D32" s="16" t="str">
        <f t="shared" si="91"/>
        <v>Pendiente</v>
      </c>
      <c r="E32" s="16" t="str">
        <f t="shared" si="92"/>
        <v>-</v>
      </c>
      <c r="F32" s="16" t="str">
        <f t="shared" si="93"/>
        <v>-</v>
      </c>
      <c r="G32" s="16"/>
      <c r="H32" s="16" t="str">
        <f t="shared" si="94"/>
        <v>-</v>
      </c>
      <c r="I32" s="16" t="str">
        <f t="shared" si="95"/>
        <v>-</v>
      </c>
      <c r="J32" s="16"/>
      <c r="K32" s="16" t="str">
        <f t="shared" si="96"/>
        <v>-</v>
      </c>
      <c r="L32" s="16" t="str">
        <f t="shared" si="97"/>
        <v>-</v>
      </c>
      <c r="M32" s="16"/>
      <c r="N32" s="16" t="str">
        <f t="shared" si="98"/>
        <v>-</v>
      </c>
      <c r="O32" s="16" t="str">
        <f t="shared" si="99"/>
        <v>-</v>
      </c>
      <c r="P32" s="16"/>
      <c r="Q32" s="16" t="str">
        <f t="shared" si="100"/>
        <v>-</v>
      </c>
      <c r="R32" s="16" t="str">
        <f t="shared" si="101"/>
        <v>-</v>
      </c>
      <c r="S32" s="16"/>
      <c r="T32" s="16" t="str">
        <f t="shared" si="102"/>
        <v>-</v>
      </c>
      <c r="U32" s="16" t="str">
        <f t="shared" si="103"/>
        <v>-</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c r="AD32" s="51"/>
      <c r="AE32" s="595" t="e" cm="1" vm="13">
        <f t="array" aca="1" ref="AE32" ca="1">Ver_flag_visit</f>
        <v>#VALUE!</v>
      </c>
      <c r="AF32" s="32" t="str">
        <f ca="1">A29</f>
        <v>United States</v>
      </c>
      <c r="AG32" s="323">
        <f t="shared" si="104"/>
        <v>0</v>
      </c>
      <c r="AH32" s="195">
        <v>59</v>
      </c>
      <c r="AI32" s="181" t="str">
        <f t="shared" si="108"/>
        <v>3D</v>
      </c>
      <c r="AJ32" s="42">
        <v>3</v>
      </c>
      <c r="AK32" s="602" t="e" cm="1" vm="15">
        <f t="array" aca="1" ref="AK32" ca="1">Ver_flag_visit</f>
        <v>#VALUE!</v>
      </c>
      <c r="AL32" s="37" t="str">
        <f ca="1">IFERROR(INDEX($BD$6:$BD$53,MATCH(AI32,$BN$6:$BN$53,0)),"")</f>
        <v>Australia</v>
      </c>
      <c r="AM32" s="38">
        <f t="shared" ca="1" si="107"/>
        <v>0</v>
      </c>
      <c r="AN32" s="39">
        <f t="shared" ca="1" si="107"/>
        <v>0</v>
      </c>
      <c r="AO32" s="39">
        <f t="shared" ca="1" si="107"/>
        <v>0</v>
      </c>
      <c r="AP32" s="39">
        <f t="shared" ca="1" si="107"/>
        <v>0</v>
      </c>
      <c r="AQ32" s="39">
        <f t="shared" ca="1" si="107"/>
        <v>0</v>
      </c>
      <c r="AR32" s="39">
        <f t="shared" ca="1" si="107"/>
        <v>0</v>
      </c>
      <c r="AS32" s="39">
        <f t="shared" ca="1" si="107"/>
        <v>0</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0</v>
      </c>
      <c r="BG32" s="16">
        <f t="shared" ca="1" si="17"/>
        <v>0</v>
      </c>
      <c r="BH32" s="16">
        <f t="shared" ca="1" si="18"/>
        <v>0</v>
      </c>
      <c r="BI32" s="16">
        <f t="shared" ca="1" si="19"/>
        <v>0</v>
      </c>
      <c r="BJ32" s="16">
        <f t="shared" ca="1" si="20"/>
        <v>0</v>
      </c>
      <c r="BK32" s="16">
        <f t="shared" ca="1" si="21"/>
        <v>0</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(4)</v>
      </c>
      <c r="BU32" s="16">
        <f t="shared" ca="1" si="24"/>
        <v>0</v>
      </c>
      <c r="BV32" s="16">
        <f t="shared" ca="1" si="25"/>
        <v>0</v>
      </c>
      <c r="BW32" s="16">
        <f t="shared" ca="1" si="26"/>
        <v>0</v>
      </c>
      <c r="BX32" s="16">
        <f t="shared" ca="1" si="48"/>
        <v>0</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(4)</v>
      </c>
      <c r="CA32" s="16">
        <f t="shared" ca="1" si="27"/>
        <v>0</v>
      </c>
      <c r="CB32" s="16">
        <f t="shared" ca="1" si="28"/>
        <v>0</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(4)</v>
      </c>
      <c r="CF32" s="16">
        <f t="shared" ca="1" si="29"/>
        <v>0</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(4)</v>
      </c>
      <c r="CI32" s="16">
        <f t="shared" ca="1" si="30"/>
        <v>0</v>
      </c>
      <c r="CJ32" s="16">
        <f t="shared" ca="1" si="31"/>
        <v>0</v>
      </c>
      <c r="CK32" s="16">
        <f t="shared" ca="1" si="32"/>
        <v>0</v>
      </c>
      <c r="CL32" s="16">
        <f t="shared" ca="1" si="50"/>
        <v>0</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(4)</v>
      </c>
      <c r="CO32" s="16">
        <f t="shared" ca="1" si="33"/>
        <v>0</v>
      </c>
      <c r="CP32" s="16">
        <f t="shared" ca="1" si="34"/>
        <v>0</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(4)</v>
      </c>
      <c r="CT32" s="16">
        <f t="shared" ca="1" si="35"/>
        <v>0</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(4)</v>
      </c>
      <c r="CW32" s="16">
        <f t="shared" ca="1" si="36"/>
        <v>0</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P.1 (4)</v>
      </c>
      <c r="CZ32" s="16">
        <f t="shared" ca="1" si="37"/>
        <v>0</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P.1 (4)</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1</v>
      </c>
      <c r="DK32" s="16">
        <f t="shared" ca="1" si="39"/>
        <v>0</v>
      </c>
      <c r="DL32" s="16">
        <f t="shared" ca="1" si="40"/>
        <v>1</v>
      </c>
      <c r="DM32" s="16" t="str">
        <f t="shared" ca="1" si="46"/>
        <v>1.1</v>
      </c>
      <c r="DN32" s="16" cm="1">
        <f t="array" aca="1" ref="DN32" ca="1">OFFSET(Horarios!$P$3,DJ32-1,0,DL32,1)</f>
        <v>1</v>
      </c>
      <c r="DO32" s="16"/>
      <c r="DP32" s="16" t="s">
        <v>445</v>
      </c>
      <c r="DQ32" s="16" t="str">
        <f t="shared" ca="1" si="47"/>
        <v>Iran</v>
      </c>
    </row>
    <row r="33" spans="1:121" ht="15.95" customHeight="1" thickBot="1">
      <c r="A33" s="16"/>
      <c r="B33" s="16"/>
      <c r="C33" s="16"/>
      <c r="D33" s="16" t="str">
        <f t="shared" si="91"/>
        <v>Pendiente</v>
      </c>
      <c r="E33" s="16" t="str">
        <f t="shared" si="92"/>
        <v>-</v>
      </c>
      <c r="F33" s="16" t="str">
        <f t="shared" si="93"/>
        <v>-</v>
      </c>
      <c r="G33" s="16"/>
      <c r="H33" s="16" t="str">
        <f t="shared" si="94"/>
        <v>-</v>
      </c>
      <c r="I33" s="16" t="str">
        <f t="shared" si="95"/>
        <v>-</v>
      </c>
      <c r="J33" s="16"/>
      <c r="K33" s="16" t="str">
        <f t="shared" si="96"/>
        <v>-</v>
      </c>
      <c r="L33" s="16" t="str">
        <f t="shared" si="97"/>
        <v>-</v>
      </c>
      <c r="M33" s="16"/>
      <c r="N33" s="16" t="str">
        <f t="shared" si="98"/>
        <v>-</v>
      </c>
      <c r="O33" s="16" t="str">
        <f t="shared" si="99"/>
        <v>-</v>
      </c>
      <c r="P33" s="16"/>
      <c r="Q33" s="16" t="str">
        <f t="shared" si="100"/>
        <v>-</v>
      </c>
      <c r="R33" s="16" t="str">
        <f t="shared" si="101"/>
        <v>-</v>
      </c>
      <c r="S33" s="16"/>
      <c r="T33" s="16" t="str">
        <f t="shared" si="102"/>
        <v>-</v>
      </c>
      <c r="U33" s="16" t="str">
        <f t="shared"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c r="AD33" s="54"/>
      <c r="AE33" s="596" t="e" cm="1" vm="15">
        <f t="array" aca="1" ref="AE33" ca="1">Ver_flag_visit</f>
        <v>#VALUE!</v>
      </c>
      <c r="AF33" s="33" t="str">
        <f ca="1">A31</f>
        <v>Australia</v>
      </c>
      <c r="AG33" s="323">
        <f t="shared" si="104"/>
        <v>0</v>
      </c>
      <c r="AH33" s="195">
        <v>60</v>
      </c>
      <c r="AI33" s="181" t="str">
        <f t="shared" si="108"/>
        <v>4D</v>
      </c>
      <c r="AJ33" s="44">
        <v>4</v>
      </c>
      <c r="AK33" s="604" t="e" cm="1" vm="16">
        <f t="array" aca="1" ref="AK33" ca="1">Ver_flag_visit</f>
        <v>#VALUE!</v>
      </c>
      <c r="AL33" s="45" t="str">
        <f ca="1">IFERROR(INDEX($BD$6:$BD$53,MATCH(AI33,$BN$6:$BN$53,0)),"")</f>
        <v>Turkey</v>
      </c>
      <c r="AM33" s="46">
        <f t="shared" ca="1" si="107"/>
        <v>0</v>
      </c>
      <c r="AN33" s="47">
        <f t="shared" ca="1" si="107"/>
        <v>0</v>
      </c>
      <c r="AO33" s="47">
        <f t="shared" ca="1" si="107"/>
        <v>0</v>
      </c>
      <c r="AP33" s="47">
        <f t="shared" ca="1" si="107"/>
        <v>0</v>
      </c>
      <c r="AQ33" s="47">
        <f t="shared" ca="1" si="107"/>
        <v>0</v>
      </c>
      <c r="AR33" s="47">
        <f t="shared" ca="1" si="107"/>
        <v>0</v>
      </c>
      <c r="AS33" s="47">
        <f t="shared" ca="1" si="107"/>
        <v>0</v>
      </c>
      <c r="AT33" s="48">
        <f t="shared" ca="1" si="107"/>
        <v>0</v>
      </c>
      <c r="AU33" s="330">
        <f ca="1">INDEX($DL$6:$DL$53,MATCH(AI33,$DP$6:$DP$53,0))</f>
        <v>1</v>
      </c>
      <c r="AV33" s="182" t="str">
        <f ca="1">INDEX($BD$6:$BD$53,MATCH(AI33,$BM$6:$BM$53,0))</f>
        <v>Turkey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0</v>
      </c>
      <c r="BG33" s="16">
        <f t="shared" ca="1" si="17"/>
        <v>0</v>
      </c>
      <c r="BH33" s="16">
        <f t="shared" ca="1" si="18"/>
        <v>0</v>
      </c>
      <c r="BI33" s="16">
        <f t="shared" ca="1" si="19"/>
        <v>0</v>
      </c>
      <c r="BJ33" s="16">
        <f t="shared" ca="1" si="20"/>
        <v>0</v>
      </c>
      <c r="BK33" s="16">
        <f t="shared" ca="1" si="21"/>
        <v>0</v>
      </c>
      <c r="BL33" s="16">
        <f t="shared" ca="1" si="42"/>
        <v>0</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1</v>
      </c>
      <c r="BT33" s="16" t="str">
        <f ca="1">IF(COUNTIFS($BS$6:$BS$53,BS33,$BC$6:$BC$53,INDEX(T_Equipos[Grupo],MATCH(BD33,T_Equipos[NombreEquipo],0)))=1,"-","P."&amp;BS33&amp;" ("&amp;COUNTIFS($BS$6:$BS$53,BS33,$BC$6:$BC$53,INDEX(T_Equipos[Grupo],MATCH(BD33,T_Equipos[NombreEquipo],0)))&amp;")")</f>
        <v>P.1 (4)</v>
      </c>
      <c r="BU33" s="16">
        <f t="shared" ca="1" si="24"/>
        <v>0</v>
      </c>
      <c r="BV33" s="16">
        <f t="shared" ca="1" si="25"/>
        <v>0</v>
      </c>
      <c r="BW33" s="16">
        <f t="shared" ca="1" si="26"/>
        <v>0</v>
      </c>
      <c r="BX33" s="16">
        <f t="shared" ca="1" si="48"/>
        <v>0</v>
      </c>
      <c r="BY33" s="16">
        <f ca="1">BS33+COUNTIFS($BT$6:$BT$53,BT33,$BX$6:BX$53,"&gt;"&amp;BX33,$BC$6:$BC$53,INDEX(T_Equipos[Grupo],MATCH(BD33,T_Equipos[NombreEquipo],0)))</f>
        <v>1</v>
      </c>
      <c r="BZ33" s="16" t="str">
        <f ca="1">IF(COUNTIFS($BY$6:$BY$53,BY33,$BC$6:$BC$53,INDEX(T_Equipos[Grupo],MATCH(BD33,T_Equipos[NombreEquipo],0)))=1,"-","P."&amp;BY33&amp;" ("&amp;COUNTIFS($BY$6:$BY$53,BY33,$BC$6:$BC$53,INDEX(T_Equipos[Grupo],MATCH(BD33,T_Equipos[NombreEquipo],0)))&amp;")")</f>
        <v>P.1 (4)</v>
      </c>
      <c r="CA33" s="16">
        <f t="shared" ca="1" si="27"/>
        <v>0</v>
      </c>
      <c r="CB33" s="16">
        <f t="shared" ca="1" si="28"/>
        <v>0</v>
      </c>
      <c r="CC33" s="16">
        <f t="shared" ca="1" si="49"/>
        <v>0</v>
      </c>
      <c r="CD33" s="16">
        <f ca="1">BY33+COUNTIFS($BZ$6:$BZ$53,BZ33,$CC$6:CC$53,"&gt;"&amp;CC33,$BC$6:$BC$53,INDEX(T_Equipos[Grupo],MATCH(BD33,T_Equipos[NombreEquipo],0)))</f>
        <v>1</v>
      </c>
      <c r="CE33" s="16" t="str">
        <f ca="1">IF(COUNTIFS($CD$6:$CD$53,CD33,$BC$6:$BC$53,INDEX(T_Equipos[Grupo],MATCH(BD33,T_Equipos[NombreEquipo],0)))=1,"-","P."&amp;CD33&amp;" ("&amp;COUNTIFS($CD$6:$CD$53,CD33,$BC$6:$BC$53,INDEX(T_Equipos[Grupo],MATCH(BD33,T_Equipos[NombreEquipo],0)))&amp;")")</f>
        <v>P.1 (4)</v>
      </c>
      <c r="CF33" s="16">
        <f t="shared" ca="1" si="29"/>
        <v>0</v>
      </c>
      <c r="CG33" s="16">
        <f ca="1">CD33+COUNTIFS($CE$6:$CE$53,CE33,$CF$6:CF$53,"&gt;"&amp;CF33,$BC$6:$BC$53,INDEX(T_Equipos[Grupo],MATCH(BD33,T_Equipos[NombreEquipo],0)))</f>
        <v>1</v>
      </c>
      <c r="CH33" s="16" t="str">
        <f ca="1">IF(COUNTIFS($CG$6:$CG$53,CG33,$BC$6:$BC$53,INDEX(T_Equipos[Grupo],MATCH(BD33,T_Equipos[NombreEquipo],0)))=1,"-","P."&amp;CG33&amp;" ("&amp;COUNTIFS($CG$6:$CG$53,CG33,$BC$6:$BC$53,INDEX(T_Equipos[Grupo],MATCH(BD33,T_Equipos[NombreEquipo],0)))&amp;")")</f>
        <v>P.1 (4)</v>
      </c>
      <c r="CI33" s="16">
        <f t="shared" ca="1" si="30"/>
        <v>0</v>
      </c>
      <c r="CJ33" s="16">
        <f t="shared" ca="1" si="31"/>
        <v>0</v>
      </c>
      <c r="CK33" s="16">
        <f t="shared" ca="1" si="32"/>
        <v>0</v>
      </c>
      <c r="CL33" s="16">
        <f t="shared" ca="1" si="50"/>
        <v>0</v>
      </c>
      <c r="CM33" s="16">
        <f ca="1">CG33+COUNTIFS($CH$6:$CH$53,CH33,$CL$6:CL$53,"&gt;"&amp;CL33,$BC$6:$BC$53,INDEX(T_Equipos[Grupo],MATCH(BD33,T_Equipos[NombreEquipo],0)))</f>
        <v>1</v>
      </c>
      <c r="CN33" s="16" t="str">
        <f ca="1">IF(COUNTIFS($CM$6:$CM$53,CM33,$BC$6:$BC$53,INDEX(T_Equipos[Grupo],MATCH(BD33,T_Equipos[NombreEquipo],0)))=1,"-","P."&amp;CM33&amp;" ("&amp;COUNTIFS($CM$6:$CM$53,CM33,$BC$6:$BC$53,INDEX(T_Equipos[Grupo],MATCH(BD33,T_Equipos[NombreEquipo],0)))&amp;")")</f>
        <v>P.1 (4)</v>
      </c>
      <c r="CO33" s="16">
        <f t="shared" ca="1" si="33"/>
        <v>0</v>
      </c>
      <c r="CP33" s="16">
        <f t="shared" ca="1" si="34"/>
        <v>0</v>
      </c>
      <c r="CQ33" s="16">
        <f t="shared" ca="1" si="51"/>
        <v>0</v>
      </c>
      <c r="CR33" s="16">
        <f ca="1">CM33+COUNTIFS($CN$6:$CN$53,CN33,$CQ$6:CQ$53,"&gt;"&amp;CQ33,$BC$6:$BC$53,INDEX(T_Equipos[Grupo],MATCH(BD33,T_Equipos[NombreEquipo],0)))</f>
        <v>1</v>
      </c>
      <c r="CS33" s="16" t="str">
        <f ca="1">IF(COUNTIFS($CR$6:$CR$53,CR33,$BC$6:$BC$53,INDEX(T_Equipos[Grupo],MATCH(BD33,T_Equipos[NombreEquipo],0)))=1,"-","P."&amp;CR33&amp;" ("&amp;COUNTIFS($CR$6:$CR$53,CR33,$BC$6:$BC$53,INDEX(T_Equipos[Grupo],MATCH(BD33,T_Equipos[NombreEquipo],0)))&amp;")")</f>
        <v>P.1 (4)</v>
      </c>
      <c r="CT33" s="16">
        <f t="shared" ca="1" si="35"/>
        <v>0</v>
      </c>
      <c r="CU33" s="16">
        <f ca="1">CR33+COUNTIFS($CS$6:$CS$53,CS33,$CT$6:CT$53,"&gt;"&amp;CT33,$BC$6:$BC$53,INDEX(T_Equipos[Grupo],MATCH(BD33,T_Equipos[NombreEquipo],0)))</f>
        <v>1</v>
      </c>
      <c r="CV33" s="16" t="str">
        <f ca="1">IF(COUNTIFS($CU$6:$CU$53,CU33,$BC$6:$BC$53,INDEX(T_Equipos[Grupo],MATCH(BD33,T_Equipos[NombreEquipo],0)))=1,"-","P."&amp;CU33&amp;" ("&amp;COUNTIFS($CU$6:$CU$53,CU33,$BC$6:$BC$53,INDEX(T_Equipos[Grupo],MATCH(BD33,T_Equipos[NombreEquipo],0)))&amp;")")</f>
        <v>P.1 (4)</v>
      </c>
      <c r="CW33" s="16">
        <f t="shared" ca="1" si="36"/>
        <v>0</v>
      </c>
      <c r="CX33" s="16">
        <f ca="1">CU33+COUNTIFS($CV$6:$CV$53,CV33,$CW$6:CW$53,"&gt;"&amp;CW33,$BC$6:$BC$53,INDEX(T_Equipos[Grupo],MATCH(BD33,T_Equipos[NombreEquipo],0)))</f>
        <v>1</v>
      </c>
      <c r="CY33" s="16" t="str">
        <f ca="1">IF(COUNTIFS($CX$6:$CX$53,CX33,$BC$6:$BC$53,INDEX(T_Equipos[Grupo],MATCH(BD33,T_Equipos[NombreEquipo],0)))=1,"-","P."&amp;CX33&amp;" ("&amp;COUNTIFS($CX$6:$CX$53,CX33,$BC$6:$BC$53,INDEX(T_Equipos[Grupo],MATCH(BD33,T_Equipos[NombreEquipo],0)))&amp;")")</f>
        <v>P.1 (4)</v>
      </c>
      <c r="CZ33" s="16">
        <f t="shared" ca="1" si="37"/>
        <v>0</v>
      </c>
      <c r="DA33" s="16">
        <f ca="1">CX33+COUNTIFS($CY$6:$CY$53,CY33,$CZ$6:CZ$53,"&gt;"&amp;CZ33,$BC$6:$BC$53,INDEX(T_Equipos[Grupo],MATCH(BD33,T_Equipos[NombreEquipo],0)))</f>
        <v>1</v>
      </c>
      <c r="DB33" s="16" t="str">
        <f ca="1">IF(COUNTIFS($DA$6:$DA$53,DA33,$BC$6:$BC$53,INDEX(T_Equipos[Grupo],MATCH(BD33,T_Equipos[NombreEquipo],0)))=1,"-","P."&amp;DA33&amp;" ("&amp;COUNTIFS($DA$6:$DA$53,DA33,$BC$6:$BC$53,INDEX(T_Equipos[Grupo],MATCH(BD33,T_Equipos[NombreEquipo],0)))&amp;")")</f>
        <v>P.1 (4)</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1</v>
      </c>
      <c r="DK33" s="16">
        <f t="shared" ca="1" si="39"/>
        <v>0</v>
      </c>
      <c r="DL33" s="16">
        <f t="shared" ca="1" si="40"/>
        <v>1</v>
      </c>
      <c r="DM33" s="16" t="str">
        <f t="shared" ca="1" si="46"/>
        <v>1.1</v>
      </c>
      <c r="DN33" s="16" cm="1">
        <f t="array" aca="1" ref="DN33" ca="1">OFFSET(Horarios!$P$3,DJ33-1,0,DL33,1)</f>
        <v>1</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0</v>
      </c>
      <c r="BF34" s="16">
        <f t="shared" ca="1" si="41"/>
        <v>0</v>
      </c>
      <c r="BG34" s="16">
        <f t="shared" ca="1" si="17"/>
        <v>0</v>
      </c>
      <c r="BH34" s="16">
        <f t="shared" ca="1" si="18"/>
        <v>0</v>
      </c>
      <c r="BI34" s="16">
        <f t="shared" ca="1" si="19"/>
        <v>0</v>
      </c>
      <c r="BJ34" s="16">
        <f t="shared" ca="1" si="20"/>
        <v>0</v>
      </c>
      <c r="BK34" s="16">
        <f t="shared" ca="1" si="21"/>
        <v>0</v>
      </c>
      <c r="BL34" s="16">
        <f t="shared" ca="1" si="42"/>
        <v>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0</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(4)</v>
      </c>
      <c r="BU34" s="16">
        <f t="shared" ca="1" si="24"/>
        <v>0</v>
      </c>
      <c r="BV34" s="16">
        <f t="shared" ca="1" si="25"/>
        <v>0</v>
      </c>
      <c r="BW34" s="16">
        <f t="shared" ca="1" si="26"/>
        <v>0</v>
      </c>
      <c r="BX34" s="16">
        <f t="shared" ca="1" si="48"/>
        <v>0</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(4)</v>
      </c>
      <c r="CA34" s="16">
        <f t="shared" ca="1" si="27"/>
        <v>0</v>
      </c>
      <c r="CB34" s="16">
        <f t="shared" ca="1" si="28"/>
        <v>0</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(4)</v>
      </c>
      <c r="CF34" s="16">
        <f t="shared" ca="1" si="29"/>
        <v>0</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(4)</v>
      </c>
      <c r="CI34" s="16">
        <f t="shared" ca="1" si="30"/>
        <v>0</v>
      </c>
      <c r="CJ34" s="16">
        <f t="shared" ca="1" si="31"/>
        <v>0</v>
      </c>
      <c r="CK34" s="16">
        <f t="shared" ca="1" si="32"/>
        <v>0</v>
      </c>
      <c r="CL34" s="16">
        <f t="shared" ca="1" si="50"/>
        <v>0</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(4)</v>
      </c>
      <c r="CO34" s="16">
        <f t="shared" ca="1" si="33"/>
        <v>0</v>
      </c>
      <c r="CP34" s="16">
        <f t="shared" ca="1" si="34"/>
        <v>0</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(4)</v>
      </c>
      <c r="CT34" s="16">
        <f t="shared" ca="1" si="35"/>
        <v>0</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(4)</v>
      </c>
      <c r="CW34" s="16">
        <f t="shared" ca="1" si="36"/>
        <v>0</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(4)</v>
      </c>
      <c r="CZ34" s="16">
        <f t="shared" ca="1" si="37"/>
        <v>0</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P.1 (4)</v>
      </c>
      <c r="DC34" s="16">
        <f ca="1">IF(DB34="-","-",COUNTIFS(T_Equipos[Rank],"&lt;"&amp;INDEX(T_Equipos[Rank],MATCH(BD34,T_Equipos[NombreEquipo],0)),$BC$6:$BC$53,INDEX(T_Equipos[Grupo],MATCH(BD34,T_Equipos[NombreEquipo],0)))+1)</f>
        <v>1</v>
      </c>
      <c r="DD34" s="16">
        <f ca="1">DA34+COUNTIFS($DB$6:$DB$53,DB34,$DC$6:DC$53,"&lt;"&amp;DC34,$BC$6:$BC$53,INDEX(T_Equipos[Grupo],MATCH(BD34,T_Equipos[NombreEquipo],0)))</f>
        <v>1</v>
      </c>
      <c r="DE34" s="16"/>
      <c r="DF34" s="16">
        <f t="shared" ca="1" si="52"/>
        <v>1</v>
      </c>
      <c r="DG34" s="16">
        <f ca="1">IF(DB34="-","-",COUNTIFS(DF$6:DF$53,"&lt;"&amp;DF34,$BC$6:$BC$53,INDEX(T_Equipos[Grupo],MATCH(BD34,T_Equipos[NombreEquipo],0))))</f>
        <v>0</v>
      </c>
      <c r="DH34" s="16">
        <f ca="1">DA34+COUNTIFS(DB$6:DB$53,DB34,DG$6:DG$53,"&lt;"&amp;DG34,$BC$6:$BC$53,INDEX(T_Equipos[Grupo],MATCH(BD34,T_Equipos[NombreEquipo],0)))</f>
        <v>1</v>
      </c>
      <c r="DI34" s="16"/>
      <c r="DJ34" s="16">
        <f t="shared" ca="1" si="38"/>
        <v>1</v>
      </c>
      <c r="DK34" s="16">
        <f t="shared" ca="1" si="39"/>
        <v>0</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0</v>
      </c>
      <c r="BG35" s="16">
        <f t="shared" ca="1" si="17"/>
        <v>0</v>
      </c>
      <c r="BH35" s="16">
        <f t="shared" ca="1" si="18"/>
        <v>0</v>
      </c>
      <c r="BI35" s="16">
        <f t="shared" ca="1" si="19"/>
        <v>0</v>
      </c>
      <c r="BJ35" s="16">
        <f t="shared" ca="1" si="20"/>
        <v>0</v>
      </c>
      <c r="BK35" s="16">
        <f t="shared" ca="1" si="21"/>
        <v>0</v>
      </c>
      <c r="BL35" s="16">
        <f t="shared" ca="1" si="42"/>
        <v>0</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1</v>
      </c>
      <c r="BT35" s="16" t="str">
        <f ca="1">IF(COUNTIFS($BS$6:$BS$53,BS35,$BC$6:$BC$53,INDEX(T_Equipos[Grupo],MATCH(BD35,T_Equipos[NombreEquipo],0)))=1,"-","P."&amp;BS35&amp;" ("&amp;COUNTIFS($BS$6:$BS$53,BS35,$BC$6:$BC$53,INDEX(T_Equipos[Grupo],MATCH(BD35,T_Equipos[NombreEquipo],0)))&amp;")")</f>
        <v>P.1 (4)</v>
      </c>
      <c r="BU35" s="16">
        <f t="shared" ca="1" si="24"/>
        <v>0</v>
      </c>
      <c r="BV35" s="16">
        <f t="shared" ca="1" si="25"/>
        <v>0</v>
      </c>
      <c r="BW35" s="16">
        <f t="shared" ca="1" si="26"/>
        <v>0</v>
      </c>
      <c r="BX35" s="16">
        <f t="shared" ca="1" si="48"/>
        <v>0</v>
      </c>
      <c r="BY35" s="16">
        <f ca="1">BS35+COUNTIFS($BT$6:$BT$53,BT35,$BX$6:BX$53,"&gt;"&amp;BX35,$BC$6:$BC$53,INDEX(T_Equipos[Grupo],MATCH(BD35,T_Equipos[NombreEquipo],0)))</f>
        <v>1</v>
      </c>
      <c r="BZ35" s="16" t="str">
        <f ca="1">IF(COUNTIFS($BY$6:$BY$53,BY35,$BC$6:$BC$53,INDEX(T_Equipos[Grupo],MATCH(BD35,T_Equipos[NombreEquipo],0)))=1,"-","P."&amp;BY35&amp;" ("&amp;COUNTIFS($BY$6:$BY$53,BY35,$BC$6:$BC$53,INDEX(T_Equipos[Grupo],MATCH(BD35,T_Equipos[NombreEquipo],0)))&amp;")")</f>
        <v>P.1 (4)</v>
      </c>
      <c r="CA35" s="16">
        <f t="shared" ca="1" si="27"/>
        <v>0</v>
      </c>
      <c r="CB35" s="16">
        <f t="shared" ca="1" si="28"/>
        <v>0</v>
      </c>
      <c r="CC35" s="16">
        <f t="shared" ca="1" si="49"/>
        <v>0</v>
      </c>
      <c r="CD35" s="16">
        <f ca="1">BY35+COUNTIFS($BZ$6:$BZ$53,BZ35,$CC$6:CC$53,"&gt;"&amp;CC35,$BC$6:$BC$53,INDEX(T_Equipos[Grupo],MATCH(BD35,T_Equipos[NombreEquipo],0)))</f>
        <v>1</v>
      </c>
      <c r="CE35" s="16" t="str">
        <f ca="1">IF(COUNTIFS($CD$6:$CD$53,CD35,$BC$6:$BC$53,INDEX(T_Equipos[Grupo],MATCH(BD35,T_Equipos[NombreEquipo],0)))=1,"-","P."&amp;CD35&amp;" ("&amp;COUNTIFS($CD$6:$CD$53,CD35,$BC$6:$BC$53,INDEX(T_Equipos[Grupo],MATCH(BD35,T_Equipos[NombreEquipo],0)))&amp;")")</f>
        <v>P.1 (4)</v>
      </c>
      <c r="CF35" s="16">
        <f t="shared" ca="1" si="29"/>
        <v>0</v>
      </c>
      <c r="CG35" s="16">
        <f ca="1">CD35+COUNTIFS($CE$6:$CE$53,CE35,$CF$6:CF$53,"&gt;"&amp;CF35,$BC$6:$BC$53,INDEX(T_Equipos[Grupo],MATCH(BD35,T_Equipos[NombreEquipo],0)))</f>
        <v>1</v>
      </c>
      <c r="CH35" s="16" t="str">
        <f ca="1">IF(COUNTIFS($CG$6:$CG$53,CG35,$BC$6:$BC$53,INDEX(T_Equipos[Grupo],MATCH(BD35,T_Equipos[NombreEquipo],0)))=1,"-","P."&amp;CG35&amp;" ("&amp;COUNTIFS($CG$6:$CG$53,CG35,$BC$6:$BC$53,INDEX(T_Equipos[Grupo],MATCH(BD35,T_Equipos[NombreEquipo],0)))&amp;")")</f>
        <v>P.1 (4)</v>
      </c>
      <c r="CI35" s="16">
        <f t="shared" ca="1" si="30"/>
        <v>0</v>
      </c>
      <c r="CJ35" s="16">
        <f t="shared" ca="1" si="31"/>
        <v>0</v>
      </c>
      <c r="CK35" s="16">
        <f t="shared" ca="1" si="32"/>
        <v>0</v>
      </c>
      <c r="CL35" s="16">
        <f t="shared" ca="1" si="50"/>
        <v>0</v>
      </c>
      <c r="CM35" s="16">
        <f ca="1">CG35+COUNTIFS($CH$6:$CH$53,CH35,$CL$6:CL$53,"&gt;"&amp;CL35,$BC$6:$BC$53,INDEX(T_Equipos[Grupo],MATCH(BD35,T_Equipos[NombreEquipo],0)))</f>
        <v>1</v>
      </c>
      <c r="CN35" s="16" t="str">
        <f ca="1">IF(COUNTIFS($CM$6:$CM$53,CM35,$BC$6:$BC$53,INDEX(T_Equipos[Grupo],MATCH(BD35,T_Equipos[NombreEquipo],0)))=1,"-","P."&amp;CM35&amp;" ("&amp;COUNTIFS($CM$6:$CM$53,CM35,$BC$6:$BC$53,INDEX(T_Equipos[Grupo],MATCH(BD35,T_Equipos[NombreEquipo],0)))&amp;")")</f>
        <v>P.1 (4)</v>
      </c>
      <c r="CO35" s="16">
        <f t="shared" ca="1" si="33"/>
        <v>0</v>
      </c>
      <c r="CP35" s="16">
        <f t="shared" ca="1" si="34"/>
        <v>0</v>
      </c>
      <c r="CQ35" s="16">
        <f t="shared" ca="1" si="51"/>
        <v>0</v>
      </c>
      <c r="CR35" s="16">
        <f ca="1">CM35+COUNTIFS($CN$6:$CN$53,CN35,$CQ$6:CQ$53,"&gt;"&amp;CQ35,$BC$6:$BC$53,INDEX(T_Equipos[Grupo],MATCH(BD35,T_Equipos[NombreEquipo],0)))</f>
        <v>1</v>
      </c>
      <c r="CS35" s="16" t="str">
        <f ca="1">IF(COUNTIFS($CR$6:$CR$53,CR35,$BC$6:$BC$53,INDEX(T_Equipos[Grupo],MATCH(BD35,T_Equipos[NombreEquipo],0)))=1,"-","P."&amp;CR35&amp;" ("&amp;COUNTIFS($CR$6:$CR$53,CR35,$BC$6:$BC$53,INDEX(T_Equipos[Grupo],MATCH(BD35,T_Equipos[NombreEquipo],0)))&amp;")")</f>
        <v>P.1 (4)</v>
      </c>
      <c r="CT35" s="16">
        <f t="shared" ca="1" si="35"/>
        <v>0</v>
      </c>
      <c r="CU35" s="16">
        <f ca="1">CR35+COUNTIFS($CS$6:$CS$53,CS35,$CT$6:CT$53,"&gt;"&amp;CT35,$BC$6:$BC$53,INDEX(T_Equipos[Grupo],MATCH(BD35,T_Equipos[NombreEquipo],0)))</f>
        <v>1</v>
      </c>
      <c r="CV35" s="16" t="str">
        <f ca="1">IF(COUNTIFS($CU$6:$CU$53,CU35,$BC$6:$BC$53,INDEX(T_Equipos[Grupo],MATCH(BD35,T_Equipos[NombreEquipo],0)))=1,"-","P."&amp;CU35&amp;" ("&amp;COUNTIFS($CU$6:$CU$53,CU35,$BC$6:$BC$53,INDEX(T_Equipos[Grupo],MATCH(BD35,T_Equipos[NombreEquipo],0)))&amp;")")</f>
        <v>P.1 (4)</v>
      </c>
      <c r="CW35" s="16">
        <f t="shared" ca="1" si="36"/>
        <v>0</v>
      </c>
      <c r="CX35" s="16">
        <f ca="1">CU35+COUNTIFS($CV$6:$CV$53,CV35,$CW$6:CW$53,"&gt;"&amp;CW35,$BC$6:$BC$53,INDEX(T_Equipos[Grupo],MATCH(BD35,T_Equipos[NombreEquipo],0)))</f>
        <v>1</v>
      </c>
      <c r="CY35" s="16" t="str">
        <f ca="1">IF(COUNTIFS($CX$6:$CX$53,CX35,$BC$6:$BC$53,INDEX(T_Equipos[Grupo],MATCH(BD35,T_Equipos[NombreEquipo],0)))=1,"-","P."&amp;CX35&amp;" ("&amp;COUNTIFS($CX$6:$CX$53,CX35,$BC$6:$BC$53,INDEX(T_Equipos[Grupo],MATCH(BD35,T_Equipos[NombreEquipo],0)))&amp;")")</f>
        <v>P.1 (4)</v>
      </c>
      <c r="CZ35" s="16">
        <f t="shared" ca="1" si="37"/>
        <v>0</v>
      </c>
      <c r="DA35" s="16">
        <f ca="1">CX35+COUNTIFS($CY$6:$CY$53,CY35,$CZ$6:CZ$53,"&gt;"&amp;CZ35,$BC$6:$BC$53,INDEX(T_Equipos[Grupo],MATCH(BD35,T_Equipos[NombreEquipo],0)))</f>
        <v>1</v>
      </c>
      <c r="DB35" s="16" t="str">
        <f ca="1">IF(COUNTIFS($DA$6:$DA$53,DA35,$BC$6:$BC$53,INDEX(T_Equipos[Grupo],MATCH(BD35,T_Equipos[NombreEquipo],0)))=1,"-","P."&amp;DA35&amp;" ("&amp;COUNTIFS($DA$6:$DA$53,DA35,$BC$6:$BC$53,INDEX(T_Equipos[Grupo],MATCH(BD35,T_Equipos[NombreEquipo],0)))&amp;")")</f>
        <v>P.1 (4)</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2</v>
      </c>
      <c r="DE35" s="16"/>
      <c r="DF35" s="16">
        <f t="shared" ca="1" si="52"/>
        <v>2</v>
      </c>
      <c r="DG35" s="16">
        <f ca="1">IF(DB35="-","-",COUNTIFS(DF$6:DF$53,"&lt;"&amp;DF35,$BC$6:$BC$53,INDEX(T_Equipos[Grupo],MATCH(BD35,T_Equipos[NombreEquipo],0))))</f>
        <v>1</v>
      </c>
      <c r="DH35" s="16">
        <f ca="1">DA35+COUNTIFS(DB$6:DB$53,DB35,DG$6:DG$53,"&lt;"&amp;DG35,$BC$6:$BC$53,INDEX(T_Equipos[Grupo],MATCH(BD35,T_Equipos[NombreEquipo],0)))</f>
        <v>2</v>
      </c>
      <c r="DI35" s="16"/>
      <c r="DJ35" s="16">
        <f t="shared" ca="1" si="38"/>
        <v>1</v>
      </c>
      <c r="DK35" s="16">
        <f t="shared" ca="1" si="39"/>
        <v>0</v>
      </c>
      <c r="DL35" s="16">
        <f t="shared" ca="1" si="40"/>
        <v>1</v>
      </c>
      <c r="DM35" s="16" t="str">
        <f t="shared" ca="1" si="46"/>
        <v>1.1</v>
      </c>
      <c r="DN35" s="16" cm="1">
        <f t="array" aca="1" ref="DN35" ca="1">OFFSET(Horarios!$P$3,DJ35-1,0,DL35,1)</f>
        <v>1</v>
      </c>
      <c r="DO35" s="16"/>
      <c r="DP35" s="16" t="s">
        <v>683</v>
      </c>
      <c r="DQ35" s="16" t="str">
        <f t="shared" ca="1" si="47"/>
        <v>Cape Verde</v>
      </c>
    </row>
    <row r="36" spans="1:121" ht="15.95" customHeight="1" thickBot="1">
      <c r="A36" s="16" t="s">
        <v>32</v>
      </c>
      <c r="B36" s="16" t="s">
        <v>3</v>
      </c>
      <c r="C36" s="16">
        <f>COUNTIF(Equipos!$C$2:$C$49,WORLDCUP!B36)</f>
        <v>4</v>
      </c>
      <c r="D36" s="16" t="str">
        <f t="shared" ref="D36:D41" si="111">IF(OR(AC36="",AD36=""),"Pendiente",IF(AC36&gt;AD36,"Local",IF(AC36&lt;AD36,"Visitante","Empate")))</f>
        <v>Pendiente</v>
      </c>
      <c r="E36" s="16" t="str">
        <f t="shared" ref="E36:E41" si="112">IF(D36="Pendiente","-",INDEX($BT$6:$BT$53,MATCH($AA36,$BD$6:$BD$53,0)))</f>
        <v>-</v>
      </c>
      <c r="F36" s="16" t="str">
        <f t="shared" ref="F36:F41" si="113">IF(D36="Pendiente","-",INDEX($BT$6:$BT$53,MATCH($AF36,$BD$6:$BD$53,0)))</f>
        <v>-</v>
      </c>
      <c r="G36" s="16"/>
      <c r="H36" s="16" t="str">
        <f t="shared" ref="H36:H41" si="114">IF(D36="Pendiente","-",INDEX($BZ$6:$BZ$53,MATCH($AA36,$BD$6:$BD$53,0)))</f>
        <v>-</v>
      </c>
      <c r="I36" s="16" t="str">
        <f t="shared" ref="I36:I41" si="115">IF(D36="Pendiente","-",INDEX($BZ$6:$BZ$53,MATCH($AF36,$BD$6:$BD$53,0)))</f>
        <v>-</v>
      </c>
      <c r="J36" s="16"/>
      <c r="K36" s="16" t="str">
        <f t="shared" ref="K36:K41" si="116">IF(D36="Pendiente","-",INDEX($CE$6:$CE$53,MATCH($AA36,$BD$6:$BD$53,0)))</f>
        <v>-</v>
      </c>
      <c r="L36" s="16" t="str">
        <f t="shared" ref="L36:L41" si="117">IF(D36="Pendiente","-",INDEX($CE$6:$CE$53,MATCH($AF36,$BD$6:$BD$53,0)))</f>
        <v>-</v>
      </c>
      <c r="M36" s="16"/>
      <c r="N36" s="16" t="str">
        <f t="shared" ref="N36:N41" si="118">IF(D36="Pendiente","-",INDEX($CH$6:$CH$53,MATCH($AA36,$BD$6:$BD$53,0)))</f>
        <v>-</v>
      </c>
      <c r="O36" s="16" t="str">
        <f t="shared" ref="O36:O41" si="119">IF(D36="Pendiente","-",INDEX($CH$6:$CH$53,MATCH($AF36,$BD$6:$BD$53,0)))</f>
        <v>-</v>
      </c>
      <c r="P36" s="16"/>
      <c r="Q36" s="16" t="str">
        <f t="shared" ref="Q36:Q41" si="120">IF(D36="Pendiente","-",INDEX($CN$6:$CN$53,MATCH($AA36,$BD$6:$BD$53,0)))</f>
        <v>-</v>
      </c>
      <c r="R36" s="16" t="str">
        <f t="shared" ref="R36:R41" si="121">IF(D36="Pendiente","-",INDEX($CN$6:$CN$53,MATCH($AF36,$BD$6:$BD$53,0)))</f>
        <v>-</v>
      </c>
      <c r="S36" s="16"/>
      <c r="T36" s="16" t="str">
        <f t="shared" ref="T36:T41" si="122">IF(D36="Pendiente","-",INDEX($CS$6:$CS$53,MATCH($AA36,$BD$6:$BD$53,0)))</f>
        <v>-</v>
      </c>
      <c r="U36" s="16" t="str">
        <f t="shared" ref="U36:U4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7">
        <f t="array" aca="1" ref="AB36" ca="1">Ver_flag_local</f>
        <v>#VALUE!</v>
      </c>
      <c r="AC36" s="50"/>
      <c r="AD36" s="51"/>
      <c r="AE36" s="595" t="e" cm="1" vm="18">
        <f t="array" aca="1" ref="AE36" ca="1">Ver_flag_visit</f>
        <v>#VALUE!</v>
      </c>
      <c r="AF36" s="32" t="str">
        <f ca="1">A38</f>
        <v>Curaçao</v>
      </c>
      <c r="AG36" s="323">
        <f t="shared" ref="AG36:AG41" si="124">IF(NOT(OR(ISBLANK(AC36),ISBLANK(AD36))),1,0)</f>
        <v>0</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0</v>
      </c>
      <c r="BG36" s="16">
        <f t="shared" ca="1" si="17"/>
        <v>0</v>
      </c>
      <c r="BH36" s="16">
        <f t="shared" ca="1" si="18"/>
        <v>0</v>
      </c>
      <c r="BI36" s="16">
        <f t="shared" ca="1" si="19"/>
        <v>0</v>
      </c>
      <c r="BJ36" s="16">
        <f t="shared" ca="1" si="20"/>
        <v>0</v>
      </c>
      <c r="BK36" s="16">
        <f t="shared" ca="1" si="21"/>
        <v>0</v>
      </c>
      <c r="BL36" s="16">
        <f t="shared" ca="1" si="42"/>
        <v>0</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1</v>
      </c>
      <c r="BT36" s="16" t="str">
        <f ca="1">IF(COUNTIFS($BS$6:$BS$53,BS36,$BC$6:$BC$53,INDEX(T_Equipos[Grupo],MATCH(BD36,T_Equipos[NombreEquipo],0)))=1,"-","P."&amp;BS36&amp;" ("&amp;COUNTIFS($BS$6:$BS$53,BS36,$BC$6:$BC$53,INDEX(T_Equipos[Grupo],MATCH(BD36,T_Equipos[NombreEquipo],0)))&amp;")")</f>
        <v>P.1 (4)</v>
      </c>
      <c r="BU36" s="16">
        <f t="shared" ca="1" si="24"/>
        <v>0</v>
      </c>
      <c r="BV36" s="16">
        <f t="shared" ca="1" si="25"/>
        <v>0</v>
      </c>
      <c r="BW36" s="16">
        <f t="shared" ca="1" si="26"/>
        <v>0</v>
      </c>
      <c r="BX36" s="16">
        <f t="shared" ca="1" si="48"/>
        <v>0</v>
      </c>
      <c r="BY36" s="16">
        <f ca="1">BS36+COUNTIFS($BT$6:$BT$53,BT36,$BX$6:BX$53,"&gt;"&amp;BX36,$BC$6:$BC$53,INDEX(T_Equipos[Grupo],MATCH(BD36,T_Equipos[NombreEquipo],0)))</f>
        <v>1</v>
      </c>
      <c r="BZ36" s="16" t="str">
        <f ca="1">IF(COUNTIFS($BY$6:$BY$53,BY36,$BC$6:$BC$53,INDEX(T_Equipos[Grupo],MATCH(BD36,T_Equipos[NombreEquipo],0)))=1,"-","P."&amp;BY36&amp;" ("&amp;COUNTIFS($BY$6:$BY$53,BY36,$BC$6:$BC$53,INDEX(T_Equipos[Grupo],MATCH(BD36,T_Equipos[NombreEquipo],0)))&amp;")")</f>
        <v>P.1 (4)</v>
      </c>
      <c r="CA36" s="16">
        <f t="shared" ca="1" si="27"/>
        <v>0</v>
      </c>
      <c r="CB36" s="16">
        <f t="shared" ca="1" si="28"/>
        <v>0</v>
      </c>
      <c r="CC36" s="16">
        <f t="shared" ca="1" si="49"/>
        <v>0</v>
      </c>
      <c r="CD36" s="16">
        <f ca="1">BY36+COUNTIFS($BZ$6:$BZ$53,BZ36,$CC$6:CC$53,"&gt;"&amp;CC36,$BC$6:$BC$53,INDEX(T_Equipos[Grupo],MATCH(BD36,T_Equipos[NombreEquipo],0)))</f>
        <v>1</v>
      </c>
      <c r="CE36" s="16" t="str">
        <f ca="1">IF(COUNTIFS($CD$6:$CD$53,CD36,$BC$6:$BC$53,INDEX(T_Equipos[Grupo],MATCH(BD36,T_Equipos[NombreEquipo],0)))=1,"-","P."&amp;CD36&amp;" ("&amp;COUNTIFS($CD$6:$CD$53,CD36,$BC$6:$BC$53,INDEX(T_Equipos[Grupo],MATCH(BD36,T_Equipos[NombreEquipo],0)))&amp;")")</f>
        <v>P.1 (4)</v>
      </c>
      <c r="CF36" s="16">
        <f t="shared" ca="1" si="29"/>
        <v>0</v>
      </c>
      <c r="CG36" s="16">
        <f ca="1">CD36+COUNTIFS($CE$6:$CE$53,CE36,$CF$6:CF$53,"&gt;"&amp;CF36,$BC$6:$BC$53,INDEX(T_Equipos[Grupo],MATCH(BD36,T_Equipos[NombreEquipo],0)))</f>
        <v>1</v>
      </c>
      <c r="CH36" s="16" t="str">
        <f ca="1">IF(COUNTIFS($CG$6:$CG$53,CG36,$BC$6:$BC$53,INDEX(T_Equipos[Grupo],MATCH(BD36,T_Equipos[NombreEquipo],0)))=1,"-","P."&amp;CG36&amp;" ("&amp;COUNTIFS($CG$6:$CG$53,CG36,$BC$6:$BC$53,INDEX(T_Equipos[Grupo],MATCH(BD36,T_Equipos[NombreEquipo],0)))&amp;")")</f>
        <v>P.1 (4)</v>
      </c>
      <c r="CI36" s="16">
        <f t="shared" ca="1" si="30"/>
        <v>0</v>
      </c>
      <c r="CJ36" s="16">
        <f t="shared" ca="1" si="31"/>
        <v>0</v>
      </c>
      <c r="CK36" s="16">
        <f t="shared" ca="1" si="32"/>
        <v>0</v>
      </c>
      <c r="CL36" s="16">
        <f t="shared" ca="1" si="50"/>
        <v>0</v>
      </c>
      <c r="CM36" s="16">
        <f ca="1">CG36+COUNTIFS($CH$6:$CH$53,CH36,$CL$6:CL$53,"&gt;"&amp;CL36,$BC$6:$BC$53,INDEX(T_Equipos[Grupo],MATCH(BD36,T_Equipos[NombreEquipo],0)))</f>
        <v>1</v>
      </c>
      <c r="CN36" s="16" t="str">
        <f ca="1">IF(COUNTIFS($CM$6:$CM$53,CM36,$BC$6:$BC$53,INDEX(T_Equipos[Grupo],MATCH(BD36,T_Equipos[NombreEquipo],0)))=1,"-","P."&amp;CM36&amp;" ("&amp;COUNTIFS($CM$6:$CM$53,CM36,$BC$6:$BC$53,INDEX(T_Equipos[Grupo],MATCH(BD36,T_Equipos[NombreEquipo],0)))&amp;")")</f>
        <v>P.1 (4)</v>
      </c>
      <c r="CO36" s="16">
        <f t="shared" ca="1" si="33"/>
        <v>0</v>
      </c>
      <c r="CP36" s="16">
        <f t="shared" ca="1" si="34"/>
        <v>0</v>
      </c>
      <c r="CQ36" s="16">
        <f t="shared" ca="1" si="51"/>
        <v>0</v>
      </c>
      <c r="CR36" s="16">
        <f ca="1">CM36+COUNTIFS($CN$6:$CN$53,CN36,$CQ$6:CQ$53,"&gt;"&amp;CQ36,$BC$6:$BC$53,INDEX(T_Equipos[Grupo],MATCH(BD36,T_Equipos[NombreEquipo],0)))</f>
        <v>1</v>
      </c>
      <c r="CS36" s="16" t="str">
        <f ca="1">IF(COUNTIFS($CR$6:$CR$53,CR36,$BC$6:$BC$53,INDEX(T_Equipos[Grupo],MATCH(BD36,T_Equipos[NombreEquipo],0)))=1,"-","P."&amp;CR36&amp;" ("&amp;COUNTIFS($CR$6:$CR$53,CR36,$BC$6:$BC$53,INDEX(T_Equipos[Grupo],MATCH(BD36,T_Equipos[NombreEquipo],0)))&amp;")")</f>
        <v>P.1 (4)</v>
      </c>
      <c r="CT36" s="16">
        <f t="shared" ca="1" si="35"/>
        <v>0</v>
      </c>
      <c r="CU36" s="16">
        <f ca="1">CR36+COUNTIFS($CS$6:$CS$53,CS36,$CT$6:CT$53,"&gt;"&amp;CT36,$BC$6:$BC$53,INDEX(T_Equipos[Grupo],MATCH(BD36,T_Equipos[NombreEquipo],0)))</f>
        <v>1</v>
      </c>
      <c r="CV36" s="16" t="str">
        <f ca="1">IF(COUNTIFS($CU$6:$CU$53,CU36,$BC$6:$BC$53,INDEX(T_Equipos[Grupo],MATCH(BD36,T_Equipos[NombreEquipo],0)))=1,"-","P."&amp;CU36&amp;" ("&amp;COUNTIFS($CU$6:$CU$53,CU36,$BC$6:$BC$53,INDEX(T_Equipos[Grupo],MATCH(BD36,T_Equipos[NombreEquipo],0)))&amp;")")</f>
        <v>P.1 (4)</v>
      </c>
      <c r="CW36" s="16">
        <f t="shared" ca="1" si="36"/>
        <v>0</v>
      </c>
      <c r="CX36" s="16">
        <f ca="1">CU36+COUNTIFS($CV$6:$CV$53,CV36,$CW$6:CW$53,"&gt;"&amp;CW36,$BC$6:$BC$53,INDEX(T_Equipos[Grupo],MATCH(BD36,T_Equipos[NombreEquipo],0)))</f>
        <v>1</v>
      </c>
      <c r="CY36" s="16" t="str">
        <f ca="1">IF(COUNTIFS($CX$6:$CX$53,CX36,$BC$6:$BC$53,INDEX(T_Equipos[Grupo],MATCH(BD36,T_Equipos[NombreEquipo],0)))=1,"-","P."&amp;CX36&amp;" ("&amp;COUNTIFS($CX$6:$CX$53,CX36,$BC$6:$BC$53,INDEX(T_Equipos[Grupo],MATCH(BD36,T_Equipos[NombreEquipo],0)))&amp;")")</f>
        <v>P.1 (4)</v>
      </c>
      <c r="CZ36" s="16">
        <f t="shared" ca="1" si="37"/>
        <v>0</v>
      </c>
      <c r="DA36" s="16">
        <f ca="1">CX36+COUNTIFS($CY$6:$CY$53,CY36,$CZ$6:CZ$53,"&gt;"&amp;CZ36,$BC$6:$BC$53,INDEX(T_Equipos[Grupo],MATCH(BD36,T_Equipos[NombreEquipo],0)))</f>
        <v>1</v>
      </c>
      <c r="DB36" s="16" t="str">
        <f ca="1">IF(COUNTIFS($DA$6:$DA$53,DA36,$BC$6:$BC$53,INDEX(T_Equipos[Grupo],MATCH(BD36,T_Equipos[NombreEquipo],0)))=1,"-","P."&amp;DA36&amp;" ("&amp;COUNTIFS($DA$6:$DA$53,DA36,$BC$6:$BC$53,INDEX(T_Equipos[Grupo],MATCH(BD36,T_Equipos[NombreEquipo],0)))&amp;")")</f>
        <v>P.1 (4)</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3</v>
      </c>
      <c r="DE36" s="16"/>
      <c r="DF36" s="16">
        <f t="shared" ca="1" si="52"/>
        <v>3</v>
      </c>
      <c r="DG36" s="16">
        <f ca="1">IF(DB36="-","-",COUNTIFS(DF$6:DF$53,"&lt;"&amp;DF36,$BC$6:$BC$53,INDEX(T_Equipos[Grupo],MATCH(BD36,T_Equipos[NombreEquipo],0))))</f>
        <v>2</v>
      </c>
      <c r="DH36" s="16">
        <f ca="1">DA36+COUNTIFS(DB$6:DB$53,DB36,DG$6:DG$53,"&lt;"&amp;DG36,$BC$6:$BC$53,INDEX(T_Equipos[Grupo],MATCH(BD36,T_Equipos[NombreEquipo],0)))</f>
        <v>3</v>
      </c>
      <c r="DI36" s="16"/>
      <c r="DJ36" s="16">
        <f t="shared" ca="1" si="38"/>
        <v>1</v>
      </c>
      <c r="DK36" s="16">
        <f t="shared" ca="1" si="39"/>
        <v>0</v>
      </c>
      <c r="DL36" s="16">
        <f t="shared" ca="1" si="40"/>
        <v>1</v>
      </c>
      <c r="DM36" s="16" t="str">
        <f t="shared" ca="1" si="46"/>
        <v>1.1</v>
      </c>
      <c r="DN36" s="16" cm="1">
        <f t="array" aca="1" ref="DN36" ca="1">OFFSET(Horarios!$P$3,DJ36-1,0,DL36,1)</f>
        <v>1</v>
      </c>
      <c r="DO36" s="16"/>
      <c r="DP36" s="16" t="s">
        <v>446</v>
      </c>
      <c r="DQ36" s="16" t="str">
        <f t="shared" ca="1" si="47"/>
        <v>Saudi Arabia</v>
      </c>
    </row>
    <row r="37" spans="1:121" ht="15.95" customHeight="1">
      <c r="A37" s="16" t="str">
        <f ca="1">+Equipos!B18</f>
        <v>Germany</v>
      </c>
      <c r="B37" s="16"/>
      <c r="C37" s="16"/>
      <c r="D37" s="16" t="str">
        <f t="shared" si="111"/>
        <v>Pendiente</v>
      </c>
      <c r="E37" s="16" t="str">
        <f t="shared" si="112"/>
        <v>-</v>
      </c>
      <c r="F37" s="16" t="str">
        <f t="shared" si="113"/>
        <v>-</v>
      </c>
      <c r="G37" s="16"/>
      <c r="H37" s="16" t="str">
        <f t="shared" si="114"/>
        <v>-</v>
      </c>
      <c r="I37" s="16" t="str">
        <f t="shared" si="115"/>
        <v>-</v>
      </c>
      <c r="J37" s="16"/>
      <c r="K37" s="16" t="str">
        <f t="shared" si="116"/>
        <v>-</v>
      </c>
      <c r="L37" s="16" t="str">
        <f t="shared" si="117"/>
        <v>-</v>
      </c>
      <c r="M37" s="16"/>
      <c r="N37" s="16" t="str">
        <f t="shared" si="118"/>
        <v>-</v>
      </c>
      <c r="O37" s="16" t="str">
        <f t="shared" si="119"/>
        <v>-</v>
      </c>
      <c r="P37" s="16"/>
      <c r="Q37" s="16" t="str">
        <f t="shared" si="120"/>
        <v>-</v>
      </c>
      <c r="R37" s="16" t="str">
        <f t="shared" si="121"/>
        <v>-</v>
      </c>
      <c r="S37" s="16"/>
      <c r="T37" s="16" t="str">
        <f t="shared" si="122"/>
        <v>-</v>
      </c>
      <c r="U37" s="16" t="str">
        <f t="shared" si="123"/>
        <v>-</v>
      </c>
      <c r="V37" s="17"/>
      <c r="W37" s="653"/>
      <c r="X37" s="24">
        <f ca="1">Horarios!C37</f>
        <v>46188.041666666664</v>
      </c>
      <c r="Y37" s="25">
        <f ca="1">Horarios!C37</f>
        <v>46188.041666666664</v>
      </c>
      <c r="Z37" s="26" t="str">
        <f>$Z$4</f>
        <v>R1</v>
      </c>
      <c r="AA37" s="27" t="str">
        <f ca="1">A39</f>
        <v>Ivory Coast</v>
      </c>
      <c r="AB37" s="49" t="e" cm="1" vm="19">
        <f t="array" aca="1" ref="AB37" ca="1">Ver_flag_local</f>
        <v>#VALUE!</v>
      </c>
      <c r="AC37" s="50"/>
      <c r="AD37" s="51"/>
      <c r="AE37" s="595" t="e" cm="1" vm="20">
        <f t="array" aca="1" ref="AE37" ca="1">Ver_flag_visit</f>
        <v>#VALUE!</v>
      </c>
      <c r="AF37" s="32" t="str">
        <f ca="1">A40</f>
        <v>Ecuador</v>
      </c>
      <c r="AG37" s="323">
        <f t="shared" si="124"/>
        <v>0</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0</v>
      </c>
      <c r="BF37" s="16">
        <f t="shared" ca="1" si="41"/>
        <v>0</v>
      </c>
      <c r="BG37" s="16">
        <f t="shared" ca="1" si="17"/>
        <v>0</v>
      </c>
      <c r="BH37" s="16">
        <f t="shared" ca="1" si="18"/>
        <v>0</v>
      </c>
      <c r="BI37" s="16">
        <f t="shared" ca="1" si="19"/>
        <v>0</v>
      </c>
      <c r="BJ37" s="16">
        <f t="shared" ca="1" si="20"/>
        <v>0</v>
      </c>
      <c r="BK37" s="16">
        <f t="shared" ca="1" si="21"/>
        <v>0</v>
      </c>
      <c r="BL37" s="16">
        <f t="shared" ca="1" si="42"/>
        <v>0</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0</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(4)</v>
      </c>
      <c r="BU37" s="16">
        <f t="shared" ca="1" si="24"/>
        <v>0</v>
      </c>
      <c r="BV37" s="16">
        <f t="shared" ca="1" si="25"/>
        <v>0</v>
      </c>
      <c r="BW37" s="16">
        <f t="shared" ca="1" si="26"/>
        <v>0</v>
      </c>
      <c r="BX37" s="16">
        <f t="shared" ca="1" si="48"/>
        <v>0</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(4)</v>
      </c>
      <c r="CA37" s="16">
        <f t="shared" ca="1" si="27"/>
        <v>0</v>
      </c>
      <c r="CB37" s="16">
        <f t="shared" ca="1" si="28"/>
        <v>0</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(4)</v>
      </c>
      <c r="CF37" s="16">
        <f t="shared" ca="1" si="29"/>
        <v>0</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(4)</v>
      </c>
      <c r="CI37" s="16">
        <f t="shared" ca="1" si="30"/>
        <v>0</v>
      </c>
      <c r="CJ37" s="16">
        <f t="shared" ca="1" si="31"/>
        <v>0</v>
      </c>
      <c r="CK37" s="16">
        <f t="shared" ca="1" si="32"/>
        <v>0</v>
      </c>
      <c r="CL37" s="16">
        <f t="shared" ca="1" si="50"/>
        <v>0</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(4)</v>
      </c>
      <c r="CO37" s="16">
        <f t="shared" ca="1" si="33"/>
        <v>0</v>
      </c>
      <c r="CP37" s="16">
        <f t="shared" ca="1" si="34"/>
        <v>0</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(4)</v>
      </c>
      <c r="CT37" s="16">
        <f t="shared" ca="1" si="35"/>
        <v>0</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(4)</v>
      </c>
      <c r="CW37" s="16">
        <f t="shared" ca="1" si="36"/>
        <v>0</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(4)</v>
      </c>
      <c r="CZ37" s="16">
        <f t="shared" ca="1" si="37"/>
        <v>0</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P.1 (4)</v>
      </c>
      <c r="DC37" s="16">
        <f ca="1">IF(DB37="-","-",COUNTIFS(T_Equipos[Rank],"&lt;"&amp;INDEX(T_Equipos[Rank],MATCH(BD37,T_Equipos[NombreEquipo],0)),$BC$6:$BC$53,INDEX(T_Equipos[Grupo],MATCH(BD37,T_Equipos[NombreEquipo],0)))+1)</f>
        <v>4</v>
      </c>
      <c r="DD37" s="16">
        <f ca="1">DA37+COUNTIFS($DB$6:$DB$53,DB37,$DC$6:DC$53,"&lt;"&amp;DC37,$BC$6:$BC$53,INDEX(T_Equipos[Grupo],MATCH(BD37,T_Equipos[NombreEquipo],0)))</f>
        <v>4</v>
      </c>
      <c r="DE37" s="16"/>
      <c r="DF37" s="16">
        <f t="shared" ca="1" si="52"/>
        <v>4</v>
      </c>
      <c r="DG37" s="16">
        <f ca="1">IF(DB37="-","-",COUNTIFS(DF$6:DF$53,"&lt;"&amp;DF37,$BC$6:$BC$53,INDEX(T_Equipos[Grupo],MATCH(BD37,T_Equipos[NombreEquipo],0))))</f>
        <v>3</v>
      </c>
      <c r="DH37" s="16">
        <f ca="1">DA37+COUNTIFS(DB$6:DB$53,DB37,DG$6:DG$53,"&lt;"&amp;DG37,$BC$6:$BC$53,INDEX(T_Equipos[Grupo],MATCH(BD37,T_Equipos[NombreEquipo],0)))</f>
        <v>4</v>
      </c>
      <c r="DI37" s="16"/>
      <c r="DJ37" s="16">
        <f t="shared" ca="1" si="38"/>
        <v>1</v>
      </c>
      <c r="DK37" s="16">
        <f t="shared" ca="1" si="39"/>
        <v>0</v>
      </c>
      <c r="DL37" s="16">
        <f t="shared" ca="1" si="40"/>
        <v>1</v>
      </c>
      <c r="DM37" s="16" t="str">
        <f t="shared" ca="1" si="46"/>
        <v>1.1</v>
      </c>
      <c r="DN37" s="16" cm="1">
        <f t="array" aca="1" ref="DN37" ca="1">OFFSET(Horarios!$P$3,DJ37-1,0,DL37,1)</f>
        <v>1</v>
      </c>
      <c r="DO37" s="16"/>
      <c r="DP37" s="16" t="s">
        <v>684</v>
      </c>
      <c r="DQ37" s="16" t="str">
        <f t="shared" ca="1" si="47"/>
        <v>Uruguay</v>
      </c>
    </row>
    <row r="38" spans="1:121" ht="15.95" customHeight="1">
      <c r="A38" s="16" t="str">
        <f ca="1">+Equipos!B19</f>
        <v>Curaçao</v>
      </c>
      <c r="B38" s="16"/>
      <c r="C38" s="16"/>
      <c r="D38" s="16" t="str">
        <f t="shared" si="111"/>
        <v>Pendiente</v>
      </c>
      <c r="E38" s="16" t="str">
        <f t="shared" si="112"/>
        <v>-</v>
      </c>
      <c r="F38" s="16" t="str">
        <f t="shared" si="113"/>
        <v>-</v>
      </c>
      <c r="G38" s="16"/>
      <c r="H38" s="16" t="str">
        <f t="shared" si="114"/>
        <v>-</v>
      </c>
      <c r="I38" s="16" t="str">
        <f t="shared" si="115"/>
        <v>-</v>
      </c>
      <c r="J38" s="16"/>
      <c r="K38" s="16" t="str">
        <f t="shared" si="116"/>
        <v>-</v>
      </c>
      <c r="L38" s="16" t="str">
        <f t="shared" si="117"/>
        <v>-</v>
      </c>
      <c r="M38" s="16"/>
      <c r="N38" s="16" t="str">
        <f t="shared" si="118"/>
        <v>-</v>
      </c>
      <c r="O38" s="16" t="str">
        <f t="shared" si="119"/>
        <v>-</v>
      </c>
      <c r="P38" s="16"/>
      <c r="Q38" s="16" t="str">
        <f t="shared" si="120"/>
        <v>-</v>
      </c>
      <c r="R38" s="16" t="str">
        <f t="shared" si="121"/>
        <v>-</v>
      </c>
      <c r="S38" s="16"/>
      <c r="T38" s="16" t="str">
        <f t="shared" si="122"/>
        <v>-</v>
      </c>
      <c r="U38" s="16" t="str">
        <f t="shared" si="123"/>
        <v>-</v>
      </c>
      <c r="V38" s="17"/>
      <c r="W38" s="653"/>
      <c r="X38" s="24">
        <f ca="1">Horarios!C38</f>
        <v>46193.916666666664</v>
      </c>
      <c r="Y38" s="25">
        <f ca="1">Horarios!C38</f>
        <v>46193.916666666664</v>
      </c>
      <c r="Z38" s="26" t="str">
        <f>$Z$6</f>
        <v>R2</v>
      </c>
      <c r="AA38" s="27" t="str">
        <f ca="1">A37</f>
        <v>Germany</v>
      </c>
      <c r="AB38" s="49" t="e" cm="1" vm="17">
        <f t="array" aca="1" ref="AB38" ca="1">Ver_flag_local</f>
        <v>#VALUE!</v>
      </c>
      <c r="AC38" s="50"/>
      <c r="AD38" s="51"/>
      <c r="AE38" s="595" t="e" cm="1" vm="19">
        <f t="array" aca="1" ref="AE38" ca="1">Ver_flag_visit</f>
        <v>#VALUE!</v>
      </c>
      <c r="AF38" s="32" t="str">
        <f ca="1">A39</f>
        <v>Ivory Coast</v>
      </c>
      <c r="AG38" s="323">
        <f t="shared" si="124"/>
        <v>0</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0</v>
      </c>
      <c r="AN38" s="36">
        <f t="shared" ca="1" si="127"/>
        <v>0</v>
      </c>
      <c r="AO38" s="36">
        <f t="shared" ca="1" si="127"/>
        <v>0</v>
      </c>
      <c r="AP38" s="36">
        <f t="shared" ca="1" si="127"/>
        <v>0</v>
      </c>
      <c r="AQ38" s="36">
        <f t="shared" ca="1" si="127"/>
        <v>0</v>
      </c>
      <c r="AR38" s="36">
        <f t="shared" ca="1" si="127"/>
        <v>0</v>
      </c>
      <c r="AS38" s="36">
        <f t="shared" ca="1" si="127"/>
        <v>0</v>
      </c>
      <c r="AT38" s="41">
        <f t="shared" ca="1" si="127"/>
        <v>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0</v>
      </c>
      <c r="BF38" s="16">
        <f t="shared" ca="1" si="41"/>
        <v>0</v>
      </c>
      <c r="BG38" s="16">
        <f t="shared" ca="1" si="17"/>
        <v>0</v>
      </c>
      <c r="BH38" s="16">
        <f t="shared" ca="1" si="18"/>
        <v>0</v>
      </c>
      <c r="BI38" s="16">
        <f t="shared" ca="1" si="19"/>
        <v>0</v>
      </c>
      <c r="BJ38" s="16">
        <f t="shared" ca="1" si="20"/>
        <v>0</v>
      </c>
      <c r="BK38" s="16">
        <f t="shared" ca="1" si="21"/>
        <v>0</v>
      </c>
      <c r="BL38" s="16">
        <f t="shared" ca="1" si="42"/>
        <v>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0</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(4)</v>
      </c>
      <c r="BU38" s="16">
        <f t="shared" ca="1" si="24"/>
        <v>0</v>
      </c>
      <c r="BV38" s="16">
        <f t="shared" ca="1" si="25"/>
        <v>0</v>
      </c>
      <c r="BW38" s="16">
        <f t="shared" ca="1" si="26"/>
        <v>0</v>
      </c>
      <c r="BX38" s="16">
        <f t="shared" ca="1" si="48"/>
        <v>0</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(4)</v>
      </c>
      <c r="CA38" s="16">
        <f t="shared" ca="1" si="27"/>
        <v>0</v>
      </c>
      <c r="CB38" s="16">
        <f t="shared" ca="1" si="28"/>
        <v>0</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(4)</v>
      </c>
      <c r="CF38" s="16">
        <f t="shared" ca="1" si="29"/>
        <v>0</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(4)</v>
      </c>
      <c r="CI38" s="16">
        <f t="shared" ca="1" si="30"/>
        <v>0</v>
      </c>
      <c r="CJ38" s="16">
        <f t="shared" ca="1" si="31"/>
        <v>0</v>
      </c>
      <c r="CK38" s="16">
        <f t="shared" ca="1" si="32"/>
        <v>0</v>
      </c>
      <c r="CL38" s="16">
        <f t="shared" ca="1" si="50"/>
        <v>0</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(4)</v>
      </c>
      <c r="CO38" s="16">
        <f t="shared" ca="1" si="33"/>
        <v>0</v>
      </c>
      <c r="CP38" s="16">
        <f t="shared" ca="1" si="34"/>
        <v>0</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(4)</v>
      </c>
      <c r="CT38" s="16">
        <f t="shared" ca="1" si="35"/>
        <v>0</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(4)</v>
      </c>
      <c r="CW38" s="16">
        <f t="shared" ca="1" si="36"/>
        <v>0</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P.1 (4)</v>
      </c>
      <c r="CZ38" s="16">
        <f t="shared" ca="1" si="37"/>
        <v>0</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P.1 (4)</v>
      </c>
      <c r="DC38" s="16">
        <f ca="1">IF(DB38="-","-",COUNTIFS(T_Equipos[Rank],"&lt;"&amp;INDEX(T_Equipos[Rank],MATCH(BD38,T_Equipos[NombreEquipo],0)),$BC$6:$BC$53,INDEX(T_Equipos[Grupo],MATCH(BD38,T_Equipos[NombreEquipo],0)))+1)</f>
        <v>1</v>
      </c>
      <c r="DD38" s="16">
        <f ca="1">DA38+COUNTIFS($DB$6:$DB$53,DB38,$DC$6:DC$53,"&lt;"&amp;DC38,$BC$6:$BC$53,INDEX(T_Equipos[Grupo],MATCH(BD38,T_Equipos[NombreEquipo],0)))</f>
        <v>1</v>
      </c>
      <c r="DE38" s="16"/>
      <c r="DF38" s="16">
        <f t="shared" ca="1" si="52"/>
        <v>1</v>
      </c>
      <c r="DG38" s="16">
        <f ca="1">IF(DB38="-","-",COUNTIFS(DF$6:DF$53,"&lt;"&amp;DF38,$BC$6:$BC$53,INDEX(T_Equipos[Grupo],MATCH(BD38,T_Equipos[NombreEquipo],0))))</f>
        <v>0</v>
      </c>
      <c r="DH38" s="16">
        <f ca="1">DA38+COUNTIFS(DB$6:DB$53,DB38,DG$6:DG$53,"&lt;"&amp;DG38,$BC$6:$BC$53,INDEX(T_Equipos[Grupo],MATCH(BD38,T_Equipos[NombreEquipo],0)))</f>
        <v>1</v>
      </c>
      <c r="DI38" s="16"/>
      <c r="DJ38" s="16">
        <f t="shared" ca="1" si="38"/>
        <v>1</v>
      </c>
      <c r="DK38" s="16">
        <f t="shared" ca="1" si="39"/>
        <v>0</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Pendiente</v>
      </c>
      <c r="E39" s="16" t="str">
        <f t="shared" si="112"/>
        <v>-</v>
      </c>
      <c r="F39" s="16" t="str">
        <f t="shared" si="113"/>
        <v>-</v>
      </c>
      <c r="G39" s="16"/>
      <c r="H39" s="16" t="str">
        <f t="shared" si="114"/>
        <v>-</v>
      </c>
      <c r="I39" s="16" t="str">
        <f t="shared" si="115"/>
        <v>-</v>
      </c>
      <c r="J39" s="16"/>
      <c r="K39" s="16" t="str">
        <f t="shared" si="116"/>
        <v>-</v>
      </c>
      <c r="L39" s="16" t="str">
        <f t="shared" si="117"/>
        <v>-</v>
      </c>
      <c r="M39" s="16"/>
      <c r="N39" s="16" t="str">
        <f t="shared" si="118"/>
        <v>-</v>
      </c>
      <c r="O39" s="16" t="str">
        <f t="shared" si="119"/>
        <v>-</v>
      </c>
      <c r="P39" s="16"/>
      <c r="Q39" s="16" t="str">
        <f t="shared" si="120"/>
        <v>-</v>
      </c>
      <c r="R39" s="16" t="str">
        <f t="shared" si="121"/>
        <v>-</v>
      </c>
      <c r="S39" s="16"/>
      <c r="T39" s="16" t="str">
        <f t="shared" si="122"/>
        <v>-</v>
      </c>
      <c r="U39" s="16" t="str">
        <f t="shared" si="123"/>
        <v>-</v>
      </c>
      <c r="V39" s="17"/>
      <c r="W39" s="653"/>
      <c r="X39" s="24">
        <f ca="1">Horarios!C39</f>
        <v>46194.083333333336</v>
      </c>
      <c r="Y39" s="25">
        <f ca="1">Horarios!C39</f>
        <v>46194.083333333336</v>
      </c>
      <c r="Z39" s="26" t="str">
        <f>$Z$6</f>
        <v>R2</v>
      </c>
      <c r="AA39" s="27" t="str">
        <f ca="1">A40</f>
        <v>Ecuador</v>
      </c>
      <c r="AB39" s="49" t="e" cm="1" vm="20">
        <f t="array" aca="1" ref="AB39" ca="1">Ver_flag_local</f>
        <v>#VALUE!</v>
      </c>
      <c r="AC39" s="50"/>
      <c r="AD39" s="51"/>
      <c r="AE39" s="595" t="e" cm="1" vm="18">
        <f t="array" aca="1" ref="AE39" ca="1">Ver_flag_visit</f>
        <v>#VALUE!</v>
      </c>
      <c r="AF39" s="32" t="str">
        <f ca="1">A38</f>
        <v>Curaçao</v>
      </c>
      <c r="AG39" s="323">
        <f t="shared" si="124"/>
        <v>0</v>
      </c>
      <c r="AH39" s="195">
        <v>34</v>
      </c>
      <c r="AI39" s="181" t="str">
        <f t="shared" ref="AI39:AI41" si="128">AJ39&amp;$B$36</f>
        <v>2E</v>
      </c>
      <c r="AJ39" s="42">
        <v>2</v>
      </c>
      <c r="AK39" s="602" t="e" cm="1" vm="18">
        <f t="array" aca="1" ref="AK39" ca="1">Ver_flag_visit</f>
        <v>#VALUE!</v>
      </c>
      <c r="AL39" s="37" t="str">
        <f ca="1">IFERROR(INDEX($BD$6:$BD$53,MATCH(AI39,$BN$6:$BN$53,0)),"")</f>
        <v>Curaçao</v>
      </c>
      <c r="AM39" s="38">
        <f t="shared" ca="1" si="127"/>
        <v>0</v>
      </c>
      <c r="AN39" s="39">
        <f t="shared" ca="1" si="127"/>
        <v>0</v>
      </c>
      <c r="AO39" s="39">
        <f t="shared" ca="1" si="127"/>
        <v>0</v>
      </c>
      <c r="AP39" s="39">
        <f t="shared" ca="1" si="127"/>
        <v>0</v>
      </c>
      <c r="AQ39" s="39">
        <f t="shared" ca="1" si="127"/>
        <v>0</v>
      </c>
      <c r="AR39" s="39">
        <f t="shared" ca="1" si="127"/>
        <v>0</v>
      </c>
      <c r="AS39" s="39">
        <f t="shared" ca="1" si="127"/>
        <v>0</v>
      </c>
      <c r="AT39" s="43">
        <f t="shared" ca="1" si="127"/>
        <v>0</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0</v>
      </c>
      <c r="BF39" s="16">
        <f t="shared" ca="1" si="41"/>
        <v>0</v>
      </c>
      <c r="BG39" s="16">
        <f t="shared" ca="1" si="17"/>
        <v>0</v>
      </c>
      <c r="BH39" s="16">
        <f t="shared" ca="1" si="18"/>
        <v>0</v>
      </c>
      <c r="BI39" s="16">
        <f t="shared" ca="1" si="19"/>
        <v>0</v>
      </c>
      <c r="BJ39" s="16">
        <f t="shared" ca="1" si="20"/>
        <v>0</v>
      </c>
      <c r="BK39" s="16">
        <f t="shared" ca="1" si="21"/>
        <v>0</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0</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(4)</v>
      </c>
      <c r="BU39" s="16">
        <f t="shared" ca="1" si="24"/>
        <v>0</v>
      </c>
      <c r="BV39" s="16">
        <f t="shared" ca="1" si="25"/>
        <v>0</v>
      </c>
      <c r="BW39" s="16">
        <f t="shared" ca="1" si="26"/>
        <v>0</v>
      </c>
      <c r="BX39" s="16">
        <f t="shared" ca="1" si="48"/>
        <v>0</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(4)</v>
      </c>
      <c r="CA39" s="16">
        <f t="shared" ca="1" si="27"/>
        <v>0</v>
      </c>
      <c r="CB39" s="16">
        <f t="shared" ca="1" si="28"/>
        <v>0</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(4)</v>
      </c>
      <c r="CF39" s="16">
        <f t="shared" ca="1" si="29"/>
        <v>0</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(4)</v>
      </c>
      <c r="CI39" s="16">
        <f t="shared" ca="1" si="30"/>
        <v>0</v>
      </c>
      <c r="CJ39" s="16">
        <f t="shared" ca="1" si="31"/>
        <v>0</v>
      </c>
      <c r="CK39" s="16">
        <f t="shared" ca="1" si="32"/>
        <v>0</v>
      </c>
      <c r="CL39" s="16">
        <f t="shared" ca="1" si="50"/>
        <v>0</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(4)</v>
      </c>
      <c r="CO39" s="16">
        <f t="shared" ca="1" si="33"/>
        <v>0</v>
      </c>
      <c r="CP39" s="16">
        <f t="shared" ca="1" si="34"/>
        <v>0</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(4)</v>
      </c>
      <c r="CT39" s="16">
        <f t="shared" ca="1" si="35"/>
        <v>0</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(4)</v>
      </c>
      <c r="CW39" s="16">
        <f t="shared" ca="1" si="36"/>
        <v>0</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(4)</v>
      </c>
      <c r="CZ39" s="16">
        <f t="shared" ca="1" si="37"/>
        <v>0</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P.1 (4)</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1</v>
      </c>
      <c r="DK39" s="16">
        <f t="shared" ca="1" si="39"/>
        <v>0</v>
      </c>
      <c r="DL39" s="16">
        <f t="shared" ca="1" si="40"/>
        <v>1</v>
      </c>
      <c r="DM39" s="16" t="str">
        <f t="shared" ca="1" si="46"/>
        <v>1.1</v>
      </c>
      <c r="DN39" s="16" cm="1">
        <f t="array" aca="1" ref="DN39" ca="1">OFFSET(Horarios!$P$3,DJ39-1,0,DL39,1)</f>
        <v>1</v>
      </c>
      <c r="DO39" s="16"/>
      <c r="DP39" s="16" t="s">
        <v>686</v>
      </c>
      <c r="DQ39" s="16" t="str">
        <f t="shared" ca="1" si="47"/>
        <v>Senegal</v>
      </c>
    </row>
    <row r="40" spans="1:121" ht="15.95" customHeight="1">
      <c r="A40" s="16" t="str">
        <f ca="1">+Equipos!B21</f>
        <v>Ecuador</v>
      </c>
      <c r="B40" s="16"/>
      <c r="C40" s="16"/>
      <c r="D40" s="16" t="str">
        <f t="shared" si="111"/>
        <v>Pendiente</v>
      </c>
      <c r="E40" s="16" t="str">
        <f t="shared" si="112"/>
        <v>-</v>
      </c>
      <c r="F40" s="16" t="str">
        <f t="shared" si="113"/>
        <v>-</v>
      </c>
      <c r="G40" s="16"/>
      <c r="H40" s="16" t="str">
        <f t="shared" si="114"/>
        <v>-</v>
      </c>
      <c r="I40" s="16" t="str">
        <f t="shared" si="115"/>
        <v>-</v>
      </c>
      <c r="J40" s="16"/>
      <c r="K40" s="16" t="str">
        <f t="shared" si="116"/>
        <v>-</v>
      </c>
      <c r="L40" s="16" t="str">
        <f t="shared" si="117"/>
        <v>-</v>
      </c>
      <c r="M40" s="16"/>
      <c r="N40" s="16" t="str">
        <f t="shared" si="118"/>
        <v>-</v>
      </c>
      <c r="O40" s="16" t="str">
        <f t="shared" si="119"/>
        <v>-</v>
      </c>
      <c r="P40" s="16"/>
      <c r="Q40" s="16" t="str">
        <f t="shared" si="120"/>
        <v>-</v>
      </c>
      <c r="R40" s="16" t="str">
        <f t="shared" si="121"/>
        <v>-</v>
      </c>
      <c r="S40" s="16"/>
      <c r="T40" s="16" t="str">
        <f t="shared" si="122"/>
        <v>-</v>
      </c>
      <c r="U40" s="16" t="str">
        <f t="shared" si="123"/>
        <v>-</v>
      </c>
      <c r="V40" s="17"/>
      <c r="W40" s="653"/>
      <c r="X40" s="24">
        <f ca="1">Horarios!C40</f>
        <v>46198.916666666664</v>
      </c>
      <c r="Y40" s="25">
        <f ca="1">Horarios!C40</f>
        <v>46198.916666666664</v>
      </c>
      <c r="Z40" s="26" t="str">
        <f>$Z$8</f>
        <v>R3</v>
      </c>
      <c r="AA40" s="27" t="str">
        <f ca="1">A38</f>
        <v>Curaçao</v>
      </c>
      <c r="AB40" s="49" t="e" cm="1" vm="18">
        <f t="array" aca="1" ref="AB40" ca="1">Ver_flag_local</f>
        <v>#VALUE!</v>
      </c>
      <c r="AC40" s="50"/>
      <c r="AD40" s="51"/>
      <c r="AE40" s="595" t="e" cm="1" vm="19">
        <f t="array" aca="1" ref="AE40" ca="1">Ver_flag_visit</f>
        <v>#VALUE!</v>
      </c>
      <c r="AF40" s="32" t="str">
        <f ca="1">A39</f>
        <v>Ivory Coast</v>
      </c>
      <c r="AG40" s="323">
        <f t="shared" si="124"/>
        <v>0</v>
      </c>
      <c r="AH40" s="195">
        <v>55</v>
      </c>
      <c r="AI40" s="181" t="str">
        <f t="shared" si="128"/>
        <v>3E</v>
      </c>
      <c r="AJ40" s="42">
        <v>3</v>
      </c>
      <c r="AK40" s="602" t="e" cm="1" vm="19">
        <f t="array" aca="1" ref="AK40" ca="1">Ver_flag_visit</f>
        <v>#VALUE!</v>
      </c>
      <c r="AL40" s="37" t="str">
        <f ca="1">IFERROR(INDEX($BD$6:$BD$53,MATCH(AI40,$BN$6:$BN$53,0)),"")</f>
        <v>Ivory Coast</v>
      </c>
      <c r="AM40" s="38">
        <f t="shared" ca="1" si="127"/>
        <v>0</v>
      </c>
      <c r="AN40" s="39">
        <f t="shared" ca="1" si="127"/>
        <v>0</v>
      </c>
      <c r="AO40" s="39">
        <f t="shared" ca="1" si="127"/>
        <v>0</v>
      </c>
      <c r="AP40" s="39">
        <f t="shared" ca="1" si="127"/>
        <v>0</v>
      </c>
      <c r="AQ40" s="39">
        <f t="shared" ca="1" si="127"/>
        <v>0</v>
      </c>
      <c r="AR40" s="39">
        <f t="shared" ca="1" si="127"/>
        <v>0</v>
      </c>
      <c r="AS40" s="39">
        <f t="shared" ca="1" si="127"/>
        <v>0</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0</v>
      </c>
      <c r="BG40" s="16">
        <f t="shared" ca="1" si="17"/>
        <v>0</v>
      </c>
      <c r="BH40" s="16">
        <f t="shared" ca="1" si="18"/>
        <v>0</v>
      </c>
      <c r="BI40" s="16">
        <f t="shared" ca="1" si="19"/>
        <v>0</v>
      </c>
      <c r="BJ40" s="16">
        <f t="shared" ca="1" si="20"/>
        <v>0</v>
      </c>
      <c r="BK40" s="16">
        <f t="shared" ca="1" si="21"/>
        <v>0</v>
      </c>
      <c r="BL40" s="16">
        <f t="shared" ca="1" si="42"/>
        <v>0</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1</v>
      </c>
      <c r="BT40" s="16" t="str">
        <f ca="1">IF(COUNTIFS($BS$6:$BS$53,BS40,$BC$6:$BC$53,INDEX(T_Equipos[Grupo],MATCH(BD40,T_Equipos[NombreEquipo],0)))=1,"-","P."&amp;BS40&amp;" ("&amp;COUNTIFS($BS$6:$BS$53,BS40,$BC$6:$BC$53,INDEX(T_Equipos[Grupo],MATCH(BD40,T_Equipos[NombreEquipo],0)))&amp;")")</f>
        <v>P.1 (4)</v>
      </c>
      <c r="BU40" s="16">
        <f t="shared" ca="1" si="24"/>
        <v>0</v>
      </c>
      <c r="BV40" s="16">
        <f t="shared" ca="1" si="25"/>
        <v>0</v>
      </c>
      <c r="BW40" s="16">
        <f t="shared" ca="1" si="26"/>
        <v>0</v>
      </c>
      <c r="BX40" s="16">
        <f t="shared" ca="1" si="48"/>
        <v>0</v>
      </c>
      <c r="BY40" s="16">
        <f ca="1">BS40+COUNTIFS($BT$6:$BT$53,BT40,$BX$6:BX$53,"&gt;"&amp;BX40,$BC$6:$BC$53,INDEX(T_Equipos[Grupo],MATCH(BD40,T_Equipos[NombreEquipo],0)))</f>
        <v>1</v>
      </c>
      <c r="BZ40" s="16" t="str">
        <f ca="1">IF(COUNTIFS($BY$6:$BY$53,BY40,$BC$6:$BC$53,INDEX(T_Equipos[Grupo],MATCH(BD40,T_Equipos[NombreEquipo],0)))=1,"-","P."&amp;BY40&amp;" ("&amp;COUNTIFS($BY$6:$BY$53,BY40,$BC$6:$BC$53,INDEX(T_Equipos[Grupo],MATCH(BD40,T_Equipos[NombreEquipo],0)))&amp;")")</f>
        <v>P.1 (4)</v>
      </c>
      <c r="CA40" s="16">
        <f t="shared" ca="1" si="27"/>
        <v>0</v>
      </c>
      <c r="CB40" s="16">
        <f t="shared" ca="1" si="28"/>
        <v>0</v>
      </c>
      <c r="CC40" s="16">
        <f t="shared" ca="1" si="49"/>
        <v>0</v>
      </c>
      <c r="CD40" s="16">
        <f ca="1">BY40+COUNTIFS($BZ$6:$BZ$53,BZ40,$CC$6:CC$53,"&gt;"&amp;CC40,$BC$6:$BC$53,INDEX(T_Equipos[Grupo],MATCH(BD40,T_Equipos[NombreEquipo],0)))</f>
        <v>1</v>
      </c>
      <c r="CE40" s="16" t="str">
        <f ca="1">IF(COUNTIFS($CD$6:$CD$53,CD40,$BC$6:$BC$53,INDEX(T_Equipos[Grupo],MATCH(BD40,T_Equipos[NombreEquipo],0)))=1,"-","P."&amp;CD40&amp;" ("&amp;COUNTIFS($CD$6:$CD$53,CD40,$BC$6:$BC$53,INDEX(T_Equipos[Grupo],MATCH(BD40,T_Equipos[NombreEquipo],0)))&amp;")")</f>
        <v>P.1 (4)</v>
      </c>
      <c r="CF40" s="16">
        <f t="shared" ca="1" si="29"/>
        <v>0</v>
      </c>
      <c r="CG40" s="16">
        <f ca="1">CD40+COUNTIFS($CE$6:$CE$53,CE40,$CF$6:CF$53,"&gt;"&amp;CF40,$BC$6:$BC$53,INDEX(T_Equipos[Grupo],MATCH(BD40,T_Equipos[NombreEquipo],0)))</f>
        <v>1</v>
      </c>
      <c r="CH40" s="16" t="str">
        <f ca="1">IF(COUNTIFS($CG$6:$CG$53,CG40,$BC$6:$BC$53,INDEX(T_Equipos[Grupo],MATCH(BD40,T_Equipos[NombreEquipo],0)))=1,"-","P."&amp;CG40&amp;" ("&amp;COUNTIFS($CG$6:$CG$53,CG40,$BC$6:$BC$53,INDEX(T_Equipos[Grupo],MATCH(BD40,T_Equipos[NombreEquipo],0)))&amp;")")</f>
        <v>P.1 (4)</v>
      </c>
      <c r="CI40" s="16">
        <f t="shared" ca="1" si="30"/>
        <v>0</v>
      </c>
      <c r="CJ40" s="16">
        <f t="shared" ca="1" si="31"/>
        <v>0</v>
      </c>
      <c r="CK40" s="16">
        <f t="shared" ca="1" si="32"/>
        <v>0</v>
      </c>
      <c r="CL40" s="16">
        <f t="shared" ca="1" si="50"/>
        <v>0</v>
      </c>
      <c r="CM40" s="16">
        <f ca="1">CG40+COUNTIFS($CH$6:$CH$53,CH40,$CL$6:CL$53,"&gt;"&amp;CL40,$BC$6:$BC$53,INDEX(T_Equipos[Grupo],MATCH(BD40,T_Equipos[NombreEquipo],0)))</f>
        <v>1</v>
      </c>
      <c r="CN40" s="16" t="str">
        <f ca="1">IF(COUNTIFS($CM$6:$CM$53,CM40,$BC$6:$BC$53,INDEX(T_Equipos[Grupo],MATCH(BD40,T_Equipos[NombreEquipo],0)))=1,"-","P."&amp;CM40&amp;" ("&amp;COUNTIFS($CM$6:$CM$53,CM40,$BC$6:$BC$53,INDEX(T_Equipos[Grupo],MATCH(BD40,T_Equipos[NombreEquipo],0)))&amp;")")</f>
        <v>P.1 (4)</v>
      </c>
      <c r="CO40" s="16">
        <f t="shared" ca="1" si="33"/>
        <v>0</v>
      </c>
      <c r="CP40" s="16">
        <f t="shared" ca="1" si="34"/>
        <v>0</v>
      </c>
      <c r="CQ40" s="16">
        <f t="shared" ca="1" si="51"/>
        <v>0</v>
      </c>
      <c r="CR40" s="16">
        <f ca="1">CM40+COUNTIFS($CN$6:$CN$53,CN40,$CQ$6:CQ$53,"&gt;"&amp;CQ40,$BC$6:$BC$53,INDEX(T_Equipos[Grupo],MATCH(BD40,T_Equipos[NombreEquipo],0)))</f>
        <v>1</v>
      </c>
      <c r="CS40" s="16" t="str">
        <f ca="1">IF(COUNTIFS($CR$6:$CR$53,CR40,$BC$6:$BC$53,INDEX(T_Equipos[Grupo],MATCH(BD40,T_Equipos[NombreEquipo],0)))=1,"-","P."&amp;CR40&amp;" ("&amp;COUNTIFS($CR$6:$CR$53,CR40,$BC$6:$BC$53,INDEX(T_Equipos[Grupo],MATCH(BD40,T_Equipos[NombreEquipo],0)))&amp;")")</f>
        <v>P.1 (4)</v>
      </c>
      <c r="CT40" s="16">
        <f t="shared" ca="1" si="35"/>
        <v>0</v>
      </c>
      <c r="CU40" s="16">
        <f ca="1">CR40+COUNTIFS($CS$6:$CS$53,CS40,$CT$6:CT$53,"&gt;"&amp;CT40,$BC$6:$BC$53,INDEX(T_Equipos[Grupo],MATCH(BD40,T_Equipos[NombreEquipo],0)))</f>
        <v>1</v>
      </c>
      <c r="CV40" s="16" t="str">
        <f ca="1">IF(COUNTIFS($CU$6:$CU$53,CU40,$BC$6:$BC$53,INDEX(T_Equipos[Grupo],MATCH(BD40,T_Equipos[NombreEquipo],0)))=1,"-","P."&amp;CU40&amp;" ("&amp;COUNTIFS($CU$6:$CU$53,CU40,$BC$6:$BC$53,INDEX(T_Equipos[Grupo],MATCH(BD40,T_Equipos[NombreEquipo],0)))&amp;")")</f>
        <v>P.1 (4)</v>
      </c>
      <c r="CW40" s="16">
        <f t="shared" ca="1" si="36"/>
        <v>0</v>
      </c>
      <c r="CX40" s="16">
        <f ca="1">CU40+COUNTIFS($CV$6:$CV$53,CV40,$CW$6:CW$53,"&gt;"&amp;CW40,$BC$6:$BC$53,INDEX(T_Equipos[Grupo],MATCH(BD40,T_Equipos[NombreEquipo],0)))</f>
        <v>1</v>
      </c>
      <c r="CY40" s="16" t="str">
        <f ca="1">IF(COUNTIFS($CX$6:$CX$53,CX40,$BC$6:$BC$53,INDEX(T_Equipos[Grupo],MATCH(BD40,T_Equipos[NombreEquipo],0)))=1,"-","P."&amp;CX40&amp;" ("&amp;COUNTIFS($CX$6:$CX$53,CX40,$BC$6:$BC$53,INDEX(T_Equipos[Grupo],MATCH(BD40,T_Equipos[NombreEquipo],0)))&amp;")")</f>
        <v>P.1 (4)</v>
      </c>
      <c r="CZ40" s="16">
        <f t="shared" ca="1" si="37"/>
        <v>0</v>
      </c>
      <c r="DA40" s="16">
        <f ca="1">CX40+COUNTIFS($CY$6:$CY$53,CY40,$CZ$6:CZ$53,"&gt;"&amp;CZ40,$BC$6:$BC$53,INDEX(T_Equipos[Grupo],MATCH(BD40,T_Equipos[NombreEquipo],0)))</f>
        <v>1</v>
      </c>
      <c r="DB40" s="16" t="str">
        <f ca="1">IF(COUNTIFS($DA$6:$DA$53,DA40,$BC$6:$BC$53,INDEX(T_Equipos[Grupo],MATCH(BD40,T_Equipos[NombreEquipo],0)))=1,"-","P."&amp;DA40&amp;" ("&amp;COUNTIFS($DA$6:$DA$53,DA40,$BC$6:$BC$53,INDEX(T_Equipos[Grupo],MATCH(BD40,T_Equipos[NombreEquipo],0)))&amp;")")</f>
        <v>P.1 (4)</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3</v>
      </c>
      <c r="DE40" s="16"/>
      <c r="DF40" s="16">
        <f t="shared" ca="1" si="52"/>
        <v>3</v>
      </c>
      <c r="DG40" s="16">
        <f ca="1">IF(DB40="-","-",COUNTIFS(DF$6:DF$53,"&lt;"&amp;DF40,$BC$6:$BC$53,INDEX(T_Equipos[Grupo],MATCH(BD40,T_Equipos[NombreEquipo],0))))</f>
        <v>2</v>
      </c>
      <c r="DH40" s="16">
        <f ca="1">DA40+COUNTIFS(DB$6:DB$53,DB40,DG$6:DG$53,"&lt;"&amp;DG40,$BC$6:$BC$53,INDEX(T_Equipos[Grupo],MATCH(BD40,T_Equipos[NombreEquipo],0)))</f>
        <v>3</v>
      </c>
      <c r="DI40" s="16"/>
      <c r="DJ40" s="16">
        <f t="shared" ca="1" si="38"/>
        <v>1</v>
      </c>
      <c r="DK40" s="16">
        <f t="shared" ca="1" si="39"/>
        <v>0</v>
      </c>
      <c r="DL40" s="16">
        <f t="shared" ca="1" si="40"/>
        <v>1</v>
      </c>
      <c r="DM40" s="16" t="str">
        <f t="shared" ca="1" si="46"/>
        <v>1.1</v>
      </c>
      <c r="DN40" s="16" cm="1">
        <f t="array" aca="1" ref="DN40" ca="1">OFFSET(Horarios!$P$3,DJ40-1,0,DL40,1)</f>
        <v>1</v>
      </c>
      <c r="DO40" s="16"/>
      <c r="DP40" s="16" t="s">
        <v>450</v>
      </c>
      <c r="DQ40" s="16" t="str">
        <f t="shared" ca="1" si="47"/>
        <v>Iraq</v>
      </c>
    </row>
    <row r="41" spans="1:121" ht="15.95" customHeight="1" thickBot="1">
      <c r="A41" s="16"/>
      <c r="B41" s="16"/>
      <c r="C41" s="16"/>
      <c r="D41" s="16" t="str">
        <f t="shared" si="111"/>
        <v>Pendiente</v>
      </c>
      <c r="E41" s="16" t="str">
        <f t="shared" si="112"/>
        <v>-</v>
      </c>
      <c r="F41" s="16" t="str">
        <f t="shared" si="113"/>
        <v>-</v>
      </c>
      <c r="G41" s="16"/>
      <c r="H41" s="16" t="str">
        <f t="shared" si="114"/>
        <v>-</v>
      </c>
      <c r="I41" s="16" t="str">
        <f t="shared" si="115"/>
        <v>-</v>
      </c>
      <c r="J41" s="16"/>
      <c r="K41" s="16" t="str">
        <f t="shared" si="116"/>
        <v>-</v>
      </c>
      <c r="L41" s="16" t="str">
        <f t="shared" si="117"/>
        <v>-</v>
      </c>
      <c r="M41" s="16"/>
      <c r="N41" s="16" t="str">
        <f t="shared" si="118"/>
        <v>-</v>
      </c>
      <c r="O41" s="16" t="str">
        <f t="shared" si="119"/>
        <v>-</v>
      </c>
      <c r="P41" s="16"/>
      <c r="Q41" s="16" t="str">
        <f t="shared" si="120"/>
        <v>-</v>
      </c>
      <c r="R41" s="16" t="str">
        <f t="shared" si="121"/>
        <v>-</v>
      </c>
      <c r="S41" s="16"/>
      <c r="T41" s="16" t="str">
        <f t="shared" si="122"/>
        <v>-</v>
      </c>
      <c r="U41" s="16" t="str">
        <f t="shared" si="123"/>
        <v>-</v>
      </c>
      <c r="V41" s="17"/>
      <c r="W41" s="654"/>
      <c r="X41" s="28">
        <f ca="1">Horarios!C41</f>
        <v>46198.916666666664</v>
      </c>
      <c r="Y41" s="29">
        <f ca="1">Horarios!C41</f>
        <v>46198.916666666664</v>
      </c>
      <c r="Z41" s="30" t="str">
        <f>$Z$8</f>
        <v>R3</v>
      </c>
      <c r="AA41" s="31" t="str">
        <f ca="1">A40</f>
        <v>Ecuador</v>
      </c>
      <c r="AB41" s="52" t="e" cm="1" vm="20">
        <f t="array" aca="1" ref="AB41" ca="1">Ver_flag_local</f>
        <v>#VALUE!</v>
      </c>
      <c r="AC41" s="53"/>
      <c r="AD41" s="54"/>
      <c r="AE41" s="596" t="e" cm="1" vm="17">
        <f t="array" aca="1" ref="AE41" ca="1">Ver_flag_visit</f>
        <v>#VALUE!</v>
      </c>
      <c r="AF41" s="33" t="str">
        <f ca="1">A37</f>
        <v>Germany</v>
      </c>
      <c r="AG41" s="323">
        <f t="shared" si="124"/>
        <v>0</v>
      </c>
      <c r="AH41" s="195">
        <v>56</v>
      </c>
      <c r="AI41" s="181" t="str">
        <f t="shared" si="128"/>
        <v>4E</v>
      </c>
      <c r="AJ41" s="44">
        <v>4</v>
      </c>
      <c r="AK41" s="604" t="e" cm="1" vm="20">
        <f t="array" aca="1" ref="AK41" ca="1">Ver_flag_visit</f>
        <v>#VALUE!</v>
      </c>
      <c r="AL41" s="45" t="str">
        <f ca="1">IFERROR(INDEX($BD$6:$BD$53,MATCH(AI41,$BN$6:$BN$53,0)),"")</f>
        <v>Ecuador</v>
      </c>
      <c r="AM41" s="46">
        <f t="shared" ca="1" si="127"/>
        <v>0</v>
      </c>
      <c r="AN41" s="47">
        <f t="shared" ca="1" si="127"/>
        <v>0</v>
      </c>
      <c r="AO41" s="47">
        <f t="shared" ca="1" si="127"/>
        <v>0</v>
      </c>
      <c r="AP41" s="47">
        <f t="shared" ca="1" si="127"/>
        <v>0</v>
      </c>
      <c r="AQ41" s="47">
        <f t="shared" ca="1" si="127"/>
        <v>0</v>
      </c>
      <c r="AR41" s="47">
        <f t="shared" ca="1" si="127"/>
        <v>0</v>
      </c>
      <c r="AS41" s="47">
        <f t="shared" ca="1" si="127"/>
        <v>0</v>
      </c>
      <c r="AT41" s="48">
        <f t="shared" ca="1" si="127"/>
        <v>0</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0</v>
      </c>
      <c r="BF41" s="16">
        <f t="shared" ca="1" si="41"/>
        <v>0</v>
      </c>
      <c r="BG41" s="16">
        <f t="shared" ca="1" si="17"/>
        <v>0</v>
      </c>
      <c r="BH41" s="16">
        <f t="shared" ca="1" si="18"/>
        <v>0</v>
      </c>
      <c r="BI41" s="16">
        <f t="shared" ca="1" si="19"/>
        <v>0</v>
      </c>
      <c r="BJ41" s="16">
        <f t="shared" ca="1" si="20"/>
        <v>0</v>
      </c>
      <c r="BK41" s="16">
        <f t="shared" ca="1" si="21"/>
        <v>0</v>
      </c>
      <c r="BL41" s="16">
        <f t="shared" ca="1" si="42"/>
        <v>0</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0</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(4)</v>
      </c>
      <c r="BU41" s="16">
        <f t="shared" ca="1" si="24"/>
        <v>0</v>
      </c>
      <c r="BV41" s="16">
        <f t="shared" ca="1" si="25"/>
        <v>0</v>
      </c>
      <c r="BW41" s="16">
        <f t="shared" ca="1" si="26"/>
        <v>0</v>
      </c>
      <c r="BX41" s="16">
        <f t="shared" ca="1" si="48"/>
        <v>0</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(4)</v>
      </c>
      <c r="CA41" s="16">
        <f t="shared" ca="1" si="27"/>
        <v>0</v>
      </c>
      <c r="CB41" s="16">
        <f t="shared" ca="1" si="28"/>
        <v>0</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(4)</v>
      </c>
      <c r="CF41" s="16">
        <f t="shared" ca="1" si="29"/>
        <v>0</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(4)</v>
      </c>
      <c r="CI41" s="16">
        <f t="shared" ca="1" si="30"/>
        <v>0</v>
      </c>
      <c r="CJ41" s="16">
        <f t="shared" ca="1" si="31"/>
        <v>0</v>
      </c>
      <c r="CK41" s="16">
        <f t="shared" ca="1" si="32"/>
        <v>0</v>
      </c>
      <c r="CL41" s="16">
        <f t="shared" ca="1" si="50"/>
        <v>0</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(4)</v>
      </c>
      <c r="CO41" s="16">
        <f t="shared" ca="1" si="33"/>
        <v>0</v>
      </c>
      <c r="CP41" s="16">
        <f t="shared" ca="1" si="34"/>
        <v>0</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(4)</v>
      </c>
      <c r="CT41" s="16">
        <f t="shared" ca="1" si="35"/>
        <v>0</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(4)</v>
      </c>
      <c r="CW41" s="16">
        <f t="shared" ca="1" si="36"/>
        <v>0</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(4)</v>
      </c>
      <c r="CZ41" s="16">
        <f t="shared" ca="1" si="37"/>
        <v>0</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P.1 (4)</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4</v>
      </c>
      <c r="DE41" s="16"/>
      <c r="DF41" s="16">
        <f t="shared" ca="1" si="52"/>
        <v>4</v>
      </c>
      <c r="DG41" s="16">
        <f ca="1">IF(DB41="-","-",COUNTIFS(DF$6:DF$53,"&lt;"&amp;DF41,$BC$6:$BC$53,INDEX(T_Equipos[Grupo],MATCH(BD41,T_Equipos[NombreEquipo],0))))</f>
        <v>3</v>
      </c>
      <c r="DH41" s="16">
        <f ca="1">DA41+COUNTIFS(DB$6:DB$53,DB41,DG$6:DG$53,"&lt;"&amp;DG41,$BC$6:$BC$53,INDEX(T_Equipos[Grupo],MATCH(BD41,T_Equipos[NombreEquipo],0)))</f>
        <v>4</v>
      </c>
      <c r="DI41" s="16"/>
      <c r="DJ41" s="16">
        <f t="shared" ca="1" si="38"/>
        <v>1</v>
      </c>
      <c r="DK41" s="16">
        <f t="shared" ca="1" si="39"/>
        <v>0</v>
      </c>
      <c r="DL41" s="16">
        <f t="shared" ca="1" si="40"/>
        <v>1</v>
      </c>
      <c r="DM41" s="16" t="str">
        <f t="shared" ca="1" si="46"/>
        <v>1.1</v>
      </c>
      <c r="DN41" s="16" cm="1">
        <f t="array" aca="1" ref="DN41" ca="1">OFFSET(Horarios!$P$3,DJ41-1,0,DL41,1)</f>
        <v>1</v>
      </c>
      <c r="DO41" s="16"/>
      <c r="DP41" s="16" t="s">
        <v>687</v>
      </c>
      <c r="DQ41" s="16" t="str">
        <f t="shared" ca="1" si="47"/>
        <v>Norway</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0</v>
      </c>
      <c r="BF42" s="16">
        <f t="shared" ca="1" si="41"/>
        <v>0</v>
      </c>
      <c r="BG42" s="16">
        <f t="shared" ca="1" si="17"/>
        <v>0</v>
      </c>
      <c r="BH42" s="16">
        <f t="shared" ca="1" si="18"/>
        <v>0</v>
      </c>
      <c r="BI42" s="16">
        <f t="shared" ca="1" si="19"/>
        <v>0</v>
      </c>
      <c r="BJ42" s="16">
        <f t="shared" ca="1" si="20"/>
        <v>0</v>
      </c>
      <c r="BK42" s="16">
        <f t="shared" ca="1" si="21"/>
        <v>0</v>
      </c>
      <c r="BL42" s="16">
        <f t="shared" ca="1" si="42"/>
        <v>0</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0</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(4)</v>
      </c>
      <c r="BU42" s="16">
        <f t="shared" ca="1" si="24"/>
        <v>0</v>
      </c>
      <c r="BV42" s="16">
        <f t="shared" ca="1" si="25"/>
        <v>0</v>
      </c>
      <c r="BW42" s="16">
        <f t="shared" ca="1" si="26"/>
        <v>0</v>
      </c>
      <c r="BX42" s="16">
        <f t="shared" ca="1" si="48"/>
        <v>0</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(4)</v>
      </c>
      <c r="CA42" s="16">
        <f t="shared" ca="1" si="27"/>
        <v>0</v>
      </c>
      <c r="CB42" s="16">
        <f t="shared" ca="1" si="28"/>
        <v>0</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(4)</v>
      </c>
      <c r="CF42" s="16">
        <f t="shared" ca="1" si="29"/>
        <v>0</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(4)</v>
      </c>
      <c r="CI42" s="16">
        <f t="shared" ca="1" si="30"/>
        <v>0</v>
      </c>
      <c r="CJ42" s="16">
        <f t="shared" ca="1" si="31"/>
        <v>0</v>
      </c>
      <c r="CK42" s="16">
        <f t="shared" ca="1" si="32"/>
        <v>0</v>
      </c>
      <c r="CL42" s="16">
        <f t="shared" ca="1" si="50"/>
        <v>0</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(4)</v>
      </c>
      <c r="CO42" s="16">
        <f t="shared" ca="1" si="33"/>
        <v>0</v>
      </c>
      <c r="CP42" s="16">
        <f t="shared" ca="1" si="34"/>
        <v>0</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(4)</v>
      </c>
      <c r="CT42" s="16">
        <f t="shared" ca="1" si="35"/>
        <v>0</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(4)</v>
      </c>
      <c r="CW42" s="16">
        <f t="shared" ca="1" si="36"/>
        <v>0</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(4)</v>
      </c>
      <c r="CZ42" s="16">
        <f t="shared" ca="1" si="37"/>
        <v>0</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(4)</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1</v>
      </c>
      <c r="DG42" s="16">
        <f ca="1">IF(DB42="-","-",COUNTIFS(DF$6:DF$53,"&lt;"&amp;DF42,$BC$6:$BC$53,INDEX(T_Equipos[Grupo],MATCH(BD42,T_Equipos[NombreEquipo],0))))</f>
        <v>0</v>
      </c>
      <c r="DH42" s="16">
        <f ca="1">DA42+COUNTIFS(DB$6:DB$53,DB42,DG$6:DG$53,"&lt;"&amp;DG42,$BC$6:$BC$53,INDEX(T_Equipos[Grupo],MATCH(BD42,T_Equipos[NombreEquipo],0)))</f>
        <v>1</v>
      </c>
      <c r="DI42" s="16"/>
      <c r="DJ42" s="16">
        <f t="shared" ca="1" si="38"/>
        <v>1</v>
      </c>
      <c r="DK42" s="16">
        <f t="shared" ca="1" si="39"/>
        <v>0</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0</v>
      </c>
      <c r="BF43" s="16">
        <f t="shared" ca="1" si="41"/>
        <v>0</v>
      </c>
      <c r="BG43" s="16">
        <f t="shared" ca="1" si="17"/>
        <v>0</v>
      </c>
      <c r="BH43" s="16">
        <f t="shared" ca="1" si="18"/>
        <v>0</v>
      </c>
      <c r="BI43" s="16">
        <f t="shared" ca="1" si="19"/>
        <v>0</v>
      </c>
      <c r="BJ43" s="16">
        <f t="shared" ca="1" si="20"/>
        <v>0</v>
      </c>
      <c r="BK43" s="16">
        <f t="shared" ca="1" si="21"/>
        <v>0</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(4)</v>
      </c>
      <c r="BU43" s="16">
        <f t="shared" ca="1" si="24"/>
        <v>0</v>
      </c>
      <c r="BV43" s="16">
        <f t="shared" ca="1" si="25"/>
        <v>0</v>
      </c>
      <c r="BW43" s="16">
        <f t="shared" ca="1" si="26"/>
        <v>0</v>
      </c>
      <c r="BX43" s="16">
        <f t="shared" ca="1" si="48"/>
        <v>0</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(4)</v>
      </c>
      <c r="CA43" s="16">
        <f t="shared" ca="1" si="27"/>
        <v>0</v>
      </c>
      <c r="CB43" s="16">
        <f t="shared" ca="1" si="28"/>
        <v>0</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(4)</v>
      </c>
      <c r="CF43" s="16">
        <f t="shared" ca="1" si="29"/>
        <v>0</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(4)</v>
      </c>
      <c r="CI43" s="16">
        <f t="shared" ca="1" si="30"/>
        <v>0</v>
      </c>
      <c r="CJ43" s="16">
        <f t="shared" ca="1" si="31"/>
        <v>0</v>
      </c>
      <c r="CK43" s="16">
        <f t="shared" ca="1" si="32"/>
        <v>0</v>
      </c>
      <c r="CL43" s="16">
        <f t="shared" ca="1" si="50"/>
        <v>0</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(4)</v>
      </c>
      <c r="CO43" s="16">
        <f t="shared" ca="1" si="33"/>
        <v>0</v>
      </c>
      <c r="CP43" s="16">
        <f t="shared" ca="1" si="34"/>
        <v>0</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(4)</v>
      </c>
      <c r="CT43" s="16">
        <f t="shared" ca="1" si="35"/>
        <v>0</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(4)</v>
      </c>
      <c r="CW43" s="16">
        <f t="shared" ca="1" si="36"/>
        <v>0</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(4)</v>
      </c>
      <c r="CZ43" s="16">
        <f t="shared" ca="1" si="37"/>
        <v>0</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(4)</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1</v>
      </c>
      <c r="DK43" s="16">
        <f t="shared" ca="1" si="39"/>
        <v>0</v>
      </c>
      <c r="DL43" s="16">
        <f t="shared" ca="1" si="40"/>
        <v>1</v>
      </c>
      <c r="DM43" s="16" t="str">
        <f t="shared" ca="1" si="46"/>
        <v>1.1</v>
      </c>
      <c r="DN43" s="16" cm="1">
        <f t="array" aca="1" ref="DN43" ca="1">OFFSET(Horarios!$P$3,DJ43-1,0,DL43,1)</f>
        <v>1</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Pendiente</v>
      </c>
      <c r="E44" s="16" t="str">
        <f t="shared" ref="E44:E49" si="132">IF(D44="Pendiente","-",INDEX($BT$6:$BT$53,MATCH($AA44,$BD$6:$BD$53,0)))</f>
        <v>-</v>
      </c>
      <c r="F44" s="16" t="str">
        <f t="shared" ref="F44:F49" si="133">IF(D44="Pendiente","-",INDEX($BT$6:$BT$53,MATCH($AF44,$BD$6:$BD$53,0)))</f>
        <v>-</v>
      </c>
      <c r="G44" s="16"/>
      <c r="H44" s="16" t="str">
        <f t="shared" ref="H44:H49" si="134">IF(D44="Pendiente","-",INDEX($BZ$6:$BZ$53,MATCH($AA44,$BD$6:$BD$53,0)))</f>
        <v>-</v>
      </c>
      <c r="I44" s="16" t="str">
        <f t="shared" ref="I44:I49" si="135">IF(D44="Pendiente","-",INDEX($BZ$6:$BZ$53,MATCH($AF44,$BD$6:$BD$53,0)))</f>
        <v>-</v>
      </c>
      <c r="J44" s="16"/>
      <c r="K44" s="16" t="str">
        <f t="shared" ref="K44:K49" si="136">IF(D44="Pendiente","-",INDEX($CE$6:$CE$53,MATCH($AA44,$BD$6:$BD$53,0)))</f>
        <v>-</v>
      </c>
      <c r="L44" s="16" t="str">
        <f t="shared" ref="L44:L49" si="137">IF(D44="Pendiente","-",INDEX($CE$6:$CE$53,MATCH($AF44,$BD$6:$BD$53,0)))</f>
        <v>-</v>
      </c>
      <c r="M44" s="16"/>
      <c r="N44" s="16" t="str">
        <f t="shared" ref="N44:N49" si="138">IF(D44="Pendiente","-",INDEX($CH$6:$CH$53,MATCH($AA44,$BD$6:$BD$53,0)))</f>
        <v>-</v>
      </c>
      <c r="O44" s="16" t="str">
        <f t="shared" ref="O44:O49" si="139">IF(D44="Pendiente","-",INDEX($CH$6:$CH$53,MATCH($AF44,$BD$6:$BD$53,0)))</f>
        <v>-</v>
      </c>
      <c r="P44" s="16"/>
      <c r="Q44" s="16" t="str">
        <f t="shared" ref="Q44:Q49" si="140">IF(D44="Pendiente","-",INDEX($CN$6:$CN$53,MATCH($AA44,$BD$6:$BD$53,0)))</f>
        <v>-</v>
      </c>
      <c r="R44" s="16" t="str">
        <f t="shared" ref="R44:R49" si="141">IF(D44="Pendiente","-",INDEX($CN$6:$CN$53,MATCH($AF44,$BD$6:$BD$53,0)))</f>
        <v>-</v>
      </c>
      <c r="S44" s="16"/>
      <c r="T44" s="16" t="str">
        <f t="shared" ref="T44:T49" si="142">IF(D44="Pendiente","-",INDEX($CS$6:$CS$53,MATCH($AA44,$BD$6:$BD$53,0)))</f>
        <v>-</v>
      </c>
      <c r="U44" s="16" t="str">
        <f t="shared" ref="U44:U49"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1">
        <f t="array" aca="1" ref="AB44" ca="1">Ver_flag_local</f>
        <v>#VALUE!</v>
      </c>
      <c r="AC44" s="50"/>
      <c r="AD44" s="51"/>
      <c r="AE44" s="595" t="e" cm="1" vm="22">
        <f t="array" aca="1" ref="AE44" ca="1">Ver_flag_visit</f>
        <v>#VALUE!</v>
      </c>
      <c r="AF44" s="32" t="str">
        <f ca="1">A46</f>
        <v>Japan</v>
      </c>
      <c r="AG44" s="323">
        <f t="shared" ref="AG44:AG49" si="144">IF(NOT(OR(ISBLANK(AC44),ISBLANK(AD44))),1,0)</f>
        <v>0</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0</v>
      </c>
      <c r="BF44" s="16">
        <f t="shared" ca="1" si="41"/>
        <v>0</v>
      </c>
      <c r="BG44" s="16">
        <f t="shared" ca="1" si="17"/>
        <v>0</v>
      </c>
      <c r="BH44" s="16">
        <f t="shared" ca="1" si="18"/>
        <v>0</v>
      </c>
      <c r="BI44" s="16">
        <f t="shared" ca="1" si="19"/>
        <v>0</v>
      </c>
      <c r="BJ44" s="16">
        <f t="shared" ca="1" si="20"/>
        <v>0</v>
      </c>
      <c r="BK44" s="16">
        <f t="shared" ca="1" si="21"/>
        <v>0</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0</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(4)</v>
      </c>
      <c r="BU44" s="16">
        <f t="shared" ca="1" si="24"/>
        <v>0</v>
      </c>
      <c r="BV44" s="16">
        <f t="shared" ca="1" si="25"/>
        <v>0</v>
      </c>
      <c r="BW44" s="16">
        <f t="shared" ca="1" si="26"/>
        <v>0</v>
      </c>
      <c r="BX44" s="16">
        <f t="shared" ca="1" si="48"/>
        <v>0</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(4)</v>
      </c>
      <c r="CA44" s="16">
        <f t="shared" ca="1" si="27"/>
        <v>0</v>
      </c>
      <c r="CB44" s="16">
        <f t="shared" ca="1" si="28"/>
        <v>0</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(4)</v>
      </c>
      <c r="CF44" s="16">
        <f t="shared" ca="1" si="29"/>
        <v>0</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(4)</v>
      </c>
      <c r="CI44" s="16">
        <f t="shared" ca="1" si="30"/>
        <v>0</v>
      </c>
      <c r="CJ44" s="16">
        <f t="shared" ca="1" si="31"/>
        <v>0</v>
      </c>
      <c r="CK44" s="16">
        <f t="shared" ca="1" si="32"/>
        <v>0</v>
      </c>
      <c r="CL44" s="16">
        <f t="shared" ca="1" si="50"/>
        <v>0</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(4)</v>
      </c>
      <c r="CO44" s="16">
        <f t="shared" ca="1" si="33"/>
        <v>0</v>
      </c>
      <c r="CP44" s="16">
        <f t="shared" ca="1" si="34"/>
        <v>0</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(4)</v>
      </c>
      <c r="CT44" s="16">
        <f t="shared" ca="1" si="35"/>
        <v>0</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(4)</v>
      </c>
      <c r="CW44" s="16">
        <f t="shared" ca="1" si="36"/>
        <v>0</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P.1 (4)</v>
      </c>
      <c r="CZ44" s="16">
        <f t="shared" ca="1" si="37"/>
        <v>0</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P.1 (4)</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1</v>
      </c>
      <c r="DK44" s="16">
        <f t="shared" ca="1" si="39"/>
        <v>0</v>
      </c>
      <c r="DL44" s="16">
        <f t="shared" ca="1" si="40"/>
        <v>1</v>
      </c>
      <c r="DM44" s="16" t="str">
        <f t="shared" ca="1" si="46"/>
        <v>1.1</v>
      </c>
      <c r="DN44" s="16" cm="1">
        <f t="array" aca="1" ref="DN44" ca="1">OFFSET(Horarios!$P$3,DJ44-1,0,DL44,1)</f>
        <v>1</v>
      </c>
      <c r="DO44" s="16"/>
      <c r="DP44" s="16" t="s">
        <v>451</v>
      </c>
      <c r="DQ44" s="16" t="str">
        <f t="shared" ca="1" si="47"/>
        <v>Austria</v>
      </c>
    </row>
    <row r="45" spans="1:121" ht="15.95" customHeight="1">
      <c r="A45" s="16" t="str">
        <f ca="1">+Equipos!B22</f>
        <v>Netherlands</v>
      </c>
      <c r="B45" s="16"/>
      <c r="C45" s="16"/>
      <c r="D45" s="16" t="str">
        <f t="shared" si="131"/>
        <v>Pendiente</v>
      </c>
      <c r="E45" s="16" t="str">
        <f t="shared" si="132"/>
        <v>-</v>
      </c>
      <c r="F45" s="16" t="str">
        <f t="shared" si="133"/>
        <v>-</v>
      </c>
      <c r="G45" s="16"/>
      <c r="H45" s="16" t="str">
        <f t="shared" si="134"/>
        <v>-</v>
      </c>
      <c r="I45" s="16" t="str">
        <f t="shared" si="135"/>
        <v>-</v>
      </c>
      <c r="J45" s="16"/>
      <c r="K45" s="16" t="str">
        <f t="shared" si="136"/>
        <v>-</v>
      </c>
      <c r="L45" s="16" t="str">
        <f t="shared" si="137"/>
        <v>-</v>
      </c>
      <c r="M45" s="16"/>
      <c r="N45" s="16" t="str">
        <f t="shared" si="138"/>
        <v>-</v>
      </c>
      <c r="O45" s="16" t="str">
        <f t="shared" si="139"/>
        <v>-</v>
      </c>
      <c r="P45" s="16"/>
      <c r="Q45" s="16" t="str">
        <f t="shared" si="140"/>
        <v>-</v>
      </c>
      <c r="R45" s="16" t="str">
        <f t="shared" si="141"/>
        <v>-</v>
      </c>
      <c r="S45" s="16"/>
      <c r="T45" s="16" t="str">
        <f t="shared" si="142"/>
        <v>-</v>
      </c>
      <c r="U45" s="16" t="str">
        <f t="shared" si="143"/>
        <v>-</v>
      </c>
      <c r="V45" s="17"/>
      <c r="W45" s="663"/>
      <c r="X45" s="24">
        <f ca="1">Horarios!C45</f>
        <v>46188.166666666664</v>
      </c>
      <c r="Y45" s="25">
        <f ca="1">Horarios!C45</f>
        <v>46188.166666666664</v>
      </c>
      <c r="Z45" s="26" t="str">
        <f>$Z$4</f>
        <v>R1</v>
      </c>
      <c r="AA45" s="27" t="str">
        <f ca="1">A47</f>
        <v>Sweden</v>
      </c>
      <c r="AB45" s="49" t="e" cm="1" vm="23">
        <f t="array" aca="1" ref="AB45" ca="1">Ver_flag_local</f>
        <v>#VALUE!</v>
      </c>
      <c r="AC45" s="50"/>
      <c r="AD45" s="51"/>
      <c r="AE45" s="595" t="e" cm="1" vm="24">
        <f t="array" aca="1" ref="AE45" ca="1">Ver_flag_visit</f>
        <v>#VALUE!</v>
      </c>
      <c r="AF45" s="32" t="str">
        <f ca="1">A48</f>
        <v>Tunisia</v>
      </c>
      <c r="AG45" s="323">
        <f t="shared" si="144"/>
        <v>0</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0</v>
      </c>
      <c r="BG45" s="16">
        <f t="shared" ca="1" si="17"/>
        <v>0</v>
      </c>
      <c r="BH45" s="16">
        <f t="shared" ca="1" si="18"/>
        <v>0</v>
      </c>
      <c r="BI45" s="16">
        <f t="shared" ca="1" si="19"/>
        <v>0</v>
      </c>
      <c r="BJ45" s="16">
        <f t="shared" ca="1" si="20"/>
        <v>0</v>
      </c>
      <c r="BK45" s="16">
        <f t="shared" ca="1" si="21"/>
        <v>0</v>
      </c>
      <c r="BL45" s="16">
        <f t="shared" ca="1" si="42"/>
        <v>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1</v>
      </c>
      <c r="BT45" s="16" t="str">
        <f ca="1">IF(COUNTIFS($BS$6:$BS$53,BS45,$BC$6:$BC$53,INDEX(T_Equipos[Grupo],MATCH(BD45,T_Equipos[NombreEquipo],0)))=1,"-","P."&amp;BS45&amp;" ("&amp;COUNTIFS($BS$6:$BS$53,BS45,$BC$6:$BC$53,INDEX(T_Equipos[Grupo],MATCH(BD45,T_Equipos[NombreEquipo],0)))&amp;")")</f>
        <v>P.1 (4)</v>
      </c>
      <c r="BU45" s="16">
        <f t="shared" ca="1" si="24"/>
        <v>0</v>
      </c>
      <c r="BV45" s="16">
        <f t="shared" ca="1" si="25"/>
        <v>0</v>
      </c>
      <c r="BW45" s="16">
        <f t="shared" ca="1" si="26"/>
        <v>0</v>
      </c>
      <c r="BX45" s="16">
        <f t="shared" ca="1" si="48"/>
        <v>0</v>
      </c>
      <c r="BY45" s="16">
        <f ca="1">BS45+COUNTIFS($BT$6:$BT$53,BT45,$BX$6:BX$53,"&gt;"&amp;BX45,$BC$6:$BC$53,INDEX(T_Equipos[Grupo],MATCH(BD45,T_Equipos[NombreEquipo],0)))</f>
        <v>1</v>
      </c>
      <c r="BZ45" s="16" t="str">
        <f ca="1">IF(COUNTIFS($BY$6:$BY$53,BY45,$BC$6:$BC$53,INDEX(T_Equipos[Grupo],MATCH(BD45,T_Equipos[NombreEquipo],0)))=1,"-","P."&amp;BY45&amp;" ("&amp;COUNTIFS($BY$6:$BY$53,BY45,$BC$6:$BC$53,INDEX(T_Equipos[Grupo],MATCH(BD45,T_Equipos[NombreEquipo],0)))&amp;")")</f>
        <v>P.1 (4)</v>
      </c>
      <c r="CA45" s="16">
        <f t="shared" ca="1" si="27"/>
        <v>0</v>
      </c>
      <c r="CB45" s="16">
        <f t="shared" ca="1" si="28"/>
        <v>0</v>
      </c>
      <c r="CC45" s="16">
        <f t="shared" ca="1" si="49"/>
        <v>0</v>
      </c>
      <c r="CD45" s="16">
        <f ca="1">BY45+COUNTIFS($BZ$6:$BZ$53,BZ45,$CC$6:CC$53,"&gt;"&amp;CC45,$BC$6:$BC$53,INDEX(T_Equipos[Grupo],MATCH(BD45,T_Equipos[NombreEquipo],0)))</f>
        <v>1</v>
      </c>
      <c r="CE45" s="16" t="str">
        <f ca="1">IF(COUNTIFS($CD$6:$CD$53,CD45,$BC$6:$BC$53,INDEX(T_Equipos[Grupo],MATCH(BD45,T_Equipos[NombreEquipo],0)))=1,"-","P."&amp;CD45&amp;" ("&amp;COUNTIFS($CD$6:$CD$53,CD45,$BC$6:$BC$53,INDEX(T_Equipos[Grupo],MATCH(BD45,T_Equipos[NombreEquipo],0)))&amp;")")</f>
        <v>P.1 (4)</v>
      </c>
      <c r="CF45" s="16">
        <f t="shared" ca="1" si="29"/>
        <v>0</v>
      </c>
      <c r="CG45" s="16">
        <f ca="1">CD45+COUNTIFS($CE$6:$CE$53,CE45,$CF$6:CF$53,"&gt;"&amp;CF45,$BC$6:$BC$53,INDEX(T_Equipos[Grupo],MATCH(BD45,T_Equipos[NombreEquipo],0)))</f>
        <v>1</v>
      </c>
      <c r="CH45" s="16" t="str">
        <f ca="1">IF(COUNTIFS($CG$6:$CG$53,CG45,$BC$6:$BC$53,INDEX(T_Equipos[Grupo],MATCH(BD45,T_Equipos[NombreEquipo],0)))=1,"-","P."&amp;CG45&amp;" ("&amp;COUNTIFS($CG$6:$CG$53,CG45,$BC$6:$BC$53,INDEX(T_Equipos[Grupo],MATCH(BD45,T_Equipos[NombreEquipo],0)))&amp;")")</f>
        <v>P.1 (4)</v>
      </c>
      <c r="CI45" s="16">
        <f t="shared" ca="1" si="30"/>
        <v>0</v>
      </c>
      <c r="CJ45" s="16">
        <f t="shared" ca="1" si="31"/>
        <v>0</v>
      </c>
      <c r="CK45" s="16">
        <f t="shared" ca="1" si="32"/>
        <v>0</v>
      </c>
      <c r="CL45" s="16">
        <f t="shared" ca="1" si="50"/>
        <v>0</v>
      </c>
      <c r="CM45" s="16">
        <f ca="1">CG45+COUNTIFS($CH$6:$CH$53,CH45,$CL$6:CL$53,"&gt;"&amp;CL45,$BC$6:$BC$53,INDEX(T_Equipos[Grupo],MATCH(BD45,T_Equipos[NombreEquipo],0)))</f>
        <v>1</v>
      </c>
      <c r="CN45" s="16" t="str">
        <f ca="1">IF(COUNTIFS($CM$6:$CM$53,CM45,$BC$6:$BC$53,INDEX(T_Equipos[Grupo],MATCH(BD45,T_Equipos[NombreEquipo],0)))=1,"-","P."&amp;CM45&amp;" ("&amp;COUNTIFS($CM$6:$CM$53,CM45,$BC$6:$BC$53,INDEX(T_Equipos[Grupo],MATCH(BD45,T_Equipos[NombreEquipo],0)))&amp;")")</f>
        <v>P.1 (4)</v>
      </c>
      <c r="CO45" s="16">
        <f t="shared" ca="1" si="33"/>
        <v>0</v>
      </c>
      <c r="CP45" s="16">
        <f t="shared" ca="1" si="34"/>
        <v>0</v>
      </c>
      <c r="CQ45" s="16">
        <f t="shared" ca="1" si="51"/>
        <v>0</v>
      </c>
      <c r="CR45" s="16">
        <f ca="1">CM45+COUNTIFS($CN$6:$CN$53,CN45,$CQ$6:CQ$53,"&gt;"&amp;CQ45,$BC$6:$BC$53,INDEX(T_Equipos[Grupo],MATCH(BD45,T_Equipos[NombreEquipo],0)))</f>
        <v>1</v>
      </c>
      <c r="CS45" s="16" t="str">
        <f ca="1">IF(COUNTIFS($CR$6:$CR$53,CR45,$BC$6:$BC$53,INDEX(T_Equipos[Grupo],MATCH(BD45,T_Equipos[NombreEquipo],0)))=1,"-","P."&amp;CR45&amp;" ("&amp;COUNTIFS($CR$6:$CR$53,CR45,$BC$6:$BC$53,INDEX(T_Equipos[Grupo],MATCH(BD45,T_Equipos[NombreEquipo],0)))&amp;")")</f>
        <v>P.1 (4)</v>
      </c>
      <c r="CT45" s="16">
        <f t="shared" ca="1" si="35"/>
        <v>0</v>
      </c>
      <c r="CU45" s="16">
        <f ca="1">CR45+COUNTIFS($CS$6:$CS$53,CS45,$CT$6:CT$53,"&gt;"&amp;CT45,$BC$6:$BC$53,INDEX(T_Equipos[Grupo],MATCH(BD45,T_Equipos[NombreEquipo],0)))</f>
        <v>1</v>
      </c>
      <c r="CV45" s="16" t="str">
        <f ca="1">IF(COUNTIFS($CU$6:$CU$53,CU45,$BC$6:$BC$53,INDEX(T_Equipos[Grupo],MATCH(BD45,T_Equipos[NombreEquipo],0)))=1,"-","P."&amp;CU45&amp;" ("&amp;COUNTIFS($CU$6:$CU$53,CU45,$BC$6:$BC$53,INDEX(T_Equipos[Grupo],MATCH(BD45,T_Equipos[NombreEquipo],0)))&amp;")")</f>
        <v>P.1 (4)</v>
      </c>
      <c r="CW45" s="16">
        <f t="shared" ca="1" si="36"/>
        <v>0</v>
      </c>
      <c r="CX45" s="16">
        <f ca="1">CU45+COUNTIFS($CV$6:$CV$53,CV45,$CW$6:CW$53,"&gt;"&amp;CW45,$BC$6:$BC$53,INDEX(T_Equipos[Grupo],MATCH(BD45,T_Equipos[NombreEquipo],0)))</f>
        <v>1</v>
      </c>
      <c r="CY45" s="16" t="str">
        <f ca="1">IF(COUNTIFS($CX$6:$CX$53,CX45,$BC$6:$BC$53,INDEX(T_Equipos[Grupo],MATCH(BD45,T_Equipos[NombreEquipo],0)))=1,"-","P."&amp;CX45&amp;" ("&amp;COUNTIFS($CX$6:$CX$53,CX45,$BC$6:$BC$53,INDEX(T_Equipos[Grupo],MATCH(BD45,T_Equipos[NombreEquipo],0)))&amp;")")</f>
        <v>P.1 (4)</v>
      </c>
      <c r="CZ45" s="16">
        <f t="shared" ca="1" si="37"/>
        <v>0</v>
      </c>
      <c r="DA45" s="16">
        <f ca="1">CX45+COUNTIFS($CY$6:$CY$53,CY45,$CZ$6:CZ$53,"&gt;"&amp;CZ45,$BC$6:$BC$53,INDEX(T_Equipos[Grupo],MATCH(BD45,T_Equipos[NombreEquipo],0)))</f>
        <v>1</v>
      </c>
      <c r="DB45" s="16" t="str">
        <f ca="1">IF(COUNTIFS($DA$6:$DA$53,DA45,$BC$6:$BC$53,INDEX(T_Equipos[Grupo],MATCH(BD45,T_Equipos[NombreEquipo],0)))=1,"-","P."&amp;DA45&amp;" ("&amp;COUNTIFS($DA$6:$DA$53,DA45,$BC$6:$BC$53,INDEX(T_Equipos[Grupo],MATCH(BD45,T_Equipos[NombreEquipo],0)))&amp;")")</f>
        <v>P.1 (4)</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1</v>
      </c>
      <c r="DK45" s="16">
        <f t="shared" ca="1" si="39"/>
        <v>0</v>
      </c>
      <c r="DL45" s="16">
        <f t="shared" ca="1" si="40"/>
        <v>1</v>
      </c>
      <c r="DM45" s="16" t="str">
        <f t="shared" ca="1" si="46"/>
        <v>1.1</v>
      </c>
      <c r="DN45" s="16" cm="1">
        <f t="array" aca="1" ref="DN45" ca="1">OFFSET(Horarios!$P$3,DJ45-1,0,DL45,1)</f>
        <v>1</v>
      </c>
      <c r="DO45" s="16"/>
      <c r="DP45" s="16" t="s">
        <v>690</v>
      </c>
      <c r="DQ45" s="16" t="str">
        <f t="shared" ca="1" si="47"/>
        <v>Jordan</v>
      </c>
    </row>
    <row r="46" spans="1:121" ht="15.95" customHeight="1">
      <c r="A46" s="16" t="str">
        <f ca="1">+Equipos!B23</f>
        <v>Japan</v>
      </c>
      <c r="B46" s="16"/>
      <c r="C46" s="16"/>
      <c r="D46" s="16" t="str">
        <f t="shared" si="131"/>
        <v>Pendiente</v>
      </c>
      <c r="E46" s="16" t="str">
        <f t="shared" si="132"/>
        <v>-</v>
      </c>
      <c r="F46" s="16" t="str">
        <f t="shared" si="133"/>
        <v>-</v>
      </c>
      <c r="G46" s="16"/>
      <c r="H46" s="16" t="str">
        <f t="shared" si="134"/>
        <v>-</v>
      </c>
      <c r="I46" s="16" t="str">
        <f t="shared" si="135"/>
        <v>-</v>
      </c>
      <c r="J46" s="16"/>
      <c r="K46" s="16" t="str">
        <f t="shared" si="136"/>
        <v>-</v>
      </c>
      <c r="L46" s="16" t="str">
        <f t="shared" si="137"/>
        <v>-</v>
      </c>
      <c r="M46" s="16"/>
      <c r="N46" s="16" t="str">
        <f t="shared" si="138"/>
        <v>-</v>
      </c>
      <c r="O46" s="16" t="str">
        <f t="shared" si="139"/>
        <v>-</v>
      </c>
      <c r="P46" s="16"/>
      <c r="Q46" s="16" t="str">
        <f t="shared" si="140"/>
        <v>-</v>
      </c>
      <c r="R46" s="16" t="str">
        <f t="shared" si="141"/>
        <v>-</v>
      </c>
      <c r="S46" s="16"/>
      <c r="T46" s="16" t="str">
        <f t="shared" si="142"/>
        <v>-</v>
      </c>
      <c r="U46" s="16" t="str">
        <f t="shared" si="143"/>
        <v>-</v>
      </c>
      <c r="V46" s="17"/>
      <c r="W46" s="663"/>
      <c r="X46" s="24">
        <f ca="1">Horarios!C46</f>
        <v>46193.791666666664</v>
      </c>
      <c r="Y46" s="25">
        <f ca="1">Horarios!C46</f>
        <v>46193.791666666664</v>
      </c>
      <c r="Z46" s="26" t="str">
        <f>$Z$6</f>
        <v>R2</v>
      </c>
      <c r="AA46" s="27" t="str">
        <f ca="1">A45</f>
        <v>Netherlands</v>
      </c>
      <c r="AB46" s="49" t="e" cm="1" vm="21">
        <f t="array" aca="1" ref="AB46" ca="1">Ver_flag_local</f>
        <v>#VALUE!</v>
      </c>
      <c r="AC46" s="50"/>
      <c r="AD46" s="51"/>
      <c r="AE46" s="595" t="e" cm="1" vm="23">
        <f t="array" aca="1" ref="AE46" ca="1">Ver_flag_visit</f>
        <v>#VALUE!</v>
      </c>
      <c r="AF46" s="32" t="str">
        <f ca="1">A47</f>
        <v>Sweden</v>
      </c>
      <c r="AG46" s="323">
        <f t="shared" si="144"/>
        <v>0</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0</v>
      </c>
      <c r="AN46" s="36">
        <f t="shared" ca="1" si="147"/>
        <v>0</v>
      </c>
      <c r="AO46" s="36">
        <f t="shared" ca="1" si="147"/>
        <v>0</v>
      </c>
      <c r="AP46" s="36">
        <f t="shared" ca="1" si="147"/>
        <v>0</v>
      </c>
      <c r="AQ46" s="36">
        <f t="shared" ca="1" si="147"/>
        <v>0</v>
      </c>
      <c r="AR46" s="36">
        <f t="shared" ca="1" si="147"/>
        <v>0</v>
      </c>
      <c r="AS46" s="36">
        <f t="shared" ca="1" si="147"/>
        <v>0</v>
      </c>
      <c r="AT46" s="41">
        <f t="shared" ca="1" si="147"/>
        <v>0</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0</v>
      </c>
      <c r="BF46" s="16">
        <f t="shared" ca="1" si="41"/>
        <v>0</v>
      </c>
      <c r="BG46" s="16">
        <f t="shared" ca="1" si="17"/>
        <v>0</v>
      </c>
      <c r="BH46" s="16">
        <f t="shared" ca="1" si="18"/>
        <v>0</v>
      </c>
      <c r="BI46" s="16">
        <f t="shared" ca="1" si="19"/>
        <v>0</v>
      </c>
      <c r="BJ46" s="16">
        <f t="shared" ca="1" si="20"/>
        <v>0</v>
      </c>
      <c r="BK46" s="16">
        <f t="shared" ca="1" si="21"/>
        <v>0</v>
      </c>
      <c r="BL46" s="16">
        <f t="shared" ca="1" si="42"/>
        <v>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0</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(4)</v>
      </c>
      <c r="BU46" s="16">
        <f t="shared" ca="1" si="24"/>
        <v>0</v>
      </c>
      <c r="BV46" s="16">
        <f t="shared" ca="1" si="25"/>
        <v>0</v>
      </c>
      <c r="BW46" s="16">
        <f t="shared" ca="1" si="26"/>
        <v>0</v>
      </c>
      <c r="BX46" s="16">
        <f t="shared" ca="1" si="48"/>
        <v>0</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(4)</v>
      </c>
      <c r="CA46" s="16">
        <f t="shared" ca="1" si="27"/>
        <v>0</v>
      </c>
      <c r="CB46" s="16">
        <f t="shared" ca="1" si="28"/>
        <v>0</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(4)</v>
      </c>
      <c r="CF46" s="16">
        <f t="shared" ca="1" si="29"/>
        <v>0</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(4)</v>
      </c>
      <c r="CI46" s="16">
        <f t="shared" ca="1" si="30"/>
        <v>0</v>
      </c>
      <c r="CJ46" s="16">
        <f t="shared" ca="1" si="31"/>
        <v>0</v>
      </c>
      <c r="CK46" s="16">
        <f t="shared" ca="1" si="32"/>
        <v>0</v>
      </c>
      <c r="CL46" s="16">
        <f t="shared" ca="1" si="50"/>
        <v>0</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(4)</v>
      </c>
      <c r="CO46" s="16">
        <f t="shared" ca="1" si="33"/>
        <v>0</v>
      </c>
      <c r="CP46" s="16">
        <f t="shared" ca="1" si="34"/>
        <v>0</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(4)</v>
      </c>
      <c r="CT46" s="16">
        <f t="shared" ca="1" si="35"/>
        <v>0</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(4)</v>
      </c>
      <c r="CW46" s="16">
        <f t="shared" ca="1" si="36"/>
        <v>0</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(4)</v>
      </c>
      <c r="CZ46" s="16">
        <f t="shared" ca="1" si="37"/>
        <v>0</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(4)</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0</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Pendiente</v>
      </c>
      <c r="E47" s="16" t="str">
        <f t="shared" si="132"/>
        <v>-</v>
      </c>
      <c r="F47" s="16" t="str">
        <f t="shared" si="133"/>
        <v>-</v>
      </c>
      <c r="G47" s="16"/>
      <c r="H47" s="16" t="str">
        <f t="shared" si="134"/>
        <v>-</v>
      </c>
      <c r="I47" s="16" t="str">
        <f t="shared" si="135"/>
        <v>-</v>
      </c>
      <c r="J47" s="16"/>
      <c r="K47" s="16" t="str">
        <f t="shared" si="136"/>
        <v>-</v>
      </c>
      <c r="L47" s="16" t="str">
        <f t="shared" si="137"/>
        <v>-</v>
      </c>
      <c r="M47" s="16"/>
      <c r="N47" s="16" t="str">
        <f t="shared" si="138"/>
        <v>-</v>
      </c>
      <c r="O47" s="16" t="str">
        <f t="shared" si="139"/>
        <v>-</v>
      </c>
      <c r="P47" s="16"/>
      <c r="Q47" s="16" t="str">
        <f t="shared" si="140"/>
        <v>-</v>
      </c>
      <c r="R47" s="16" t="str">
        <f t="shared" si="141"/>
        <v>-</v>
      </c>
      <c r="S47" s="16"/>
      <c r="T47" s="16" t="str">
        <f t="shared" si="142"/>
        <v>-</v>
      </c>
      <c r="U47" s="16" t="str">
        <f t="shared" si="143"/>
        <v>-</v>
      </c>
      <c r="V47" s="17"/>
      <c r="W47" s="663"/>
      <c r="X47" s="24">
        <f ca="1">Horarios!C47</f>
        <v>46194.25</v>
      </c>
      <c r="Y47" s="25">
        <f ca="1">Horarios!C47</f>
        <v>46194.25</v>
      </c>
      <c r="Z47" s="26" t="str">
        <f>$Z$6</f>
        <v>R2</v>
      </c>
      <c r="AA47" s="27" t="str">
        <f ca="1">A48</f>
        <v>Tunisia</v>
      </c>
      <c r="AB47" s="49" t="e" cm="1" vm="24">
        <f t="array" aca="1" ref="AB47" ca="1">Ver_flag_local</f>
        <v>#VALUE!</v>
      </c>
      <c r="AC47" s="50"/>
      <c r="AD47" s="51"/>
      <c r="AE47" s="595" t="e" cm="1" vm="22">
        <f t="array" aca="1" ref="AE47" ca="1">Ver_flag_visit</f>
        <v>#VALUE!</v>
      </c>
      <c r="AF47" s="32" t="str">
        <f ca="1">A46</f>
        <v>Japan</v>
      </c>
      <c r="AG47" s="323">
        <f t="shared" si="144"/>
        <v>0</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0</v>
      </c>
      <c r="AN47" s="39">
        <f t="shared" ca="1" si="147"/>
        <v>0</v>
      </c>
      <c r="AO47" s="39">
        <f t="shared" ca="1" si="147"/>
        <v>0</v>
      </c>
      <c r="AP47" s="39">
        <f t="shared" ca="1" si="147"/>
        <v>0</v>
      </c>
      <c r="AQ47" s="39">
        <f t="shared" ca="1" si="147"/>
        <v>0</v>
      </c>
      <c r="AR47" s="39">
        <f t="shared" ca="1" si="147"/>
        <v>0</v>
      </c>
      <c r="AS47" s="39">
        <f t="shared" ca="1" si="147"/>
        <v>0</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0</v>
      </c>
      <c r="BG47" s="16">
        <f t="shared" ca="1" si="17"/>
        <v>0</v>
      </c>
      <c r="BH47" s="16">
        <f t="shared" ca="1" si="18"/>
        <v>0</v>
      </c>
      <c r="BI47" s="16">
        <f t="shared" ca="1" si="19"/>
        <v>0</v>
      </c>
      <c r="BJ47" s="16">
        <f t="shared" ca="1" si="20"/>
        <v>0</v>
      </c>
      <c r="BK47" s="16">
        <f t="shared" ca="1" si="21"/>
        <v>0</v>
      </c>
      <c r="BL47" s="16">
        <f t="shared" ca="1" si="42"/>
        <v>0</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P.1 (4)</v>
      </c>
      <c r="BU47" s="16">
        <f t="shared" ca="1" si="24"/>
        <v>0</v>
      </c>
      <c r="BV47" s="16">
        <f t="shared" ca="1" si="25"/>
        <v>0</v>
      </c>
      <c r="BW47" s="16">
        <f t="shared" ca="1" si="26"/>
        <v>0</v>
      </c>
      <c r="BX47" s="16">
        <f t="shared" ca="1" si="48"/>
        <v>0</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P.1 (4)</v>
      </c>
      <c r="CA47" s="16">
        <f t="shared" ca="1" si="27"/>
        <v>0</v>
      </c>
      <c r="CB47" s="16">
        <f t="shared" ca="1" si="28"/>
        <v>0</v>
      </c>
      <c r="CC47" s="16">
        <f t="shared" ca="1" si="49"/>
        <v>0</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P.1 (4)</v>
      </c>
      <c r="CF47" s="16">
        <f t="shared" ca="1" si="29"/>
        <v>0</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P.1 (4)</v>
      </c>
      <c r="CI47" s="16">
        <f t="shared" ca="1" si="30"/>
        <v>0</v>
      </c>
      <c r="CJ47" s="16">
        <f t="shared" ca="1" si="31"/>
        <v>0</v>
      </c>
      <c r="CK47" s="16">
        <f t="shared" ca="1" si="32"/>
        <v>0</v>
      </c>
      <c r="CL47" s="16">
        <f t="shared" ca="1" si="50"/>
        <v>0</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P.1 (4)</v>
      </c>
      <c r="CO47" s="16">
        <f t="shared" ca="1" si="33"/>
        <v>0</v>
      </c>
      <c r="CP47" s="16">
        <f t="shared" ca="1" si="34"/>
        <v>0</v>
      </c>
      <c r="CQ47" s="16">
        <f t="shared" ca="1" si="51"/>
        <v>0</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P.1 (4)</v>
      </c>
      <c r="CT47" s="16">
        <f t="shared" ca="1" si="35"/>
        <v>0</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P.1 (4)</v>
      </c>
      <c r="CW47" s="16">
        <f t="shared" ca="1" si="36"/>
        <v>0</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P.1 (4)</v>
      </c>
      <c r="CZ47" s="16">
        <f t="shared" ca="1" si="37"/>
        <v>0</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P.1 (4)</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2</v>
      </c>
      <c r="DE47" s="16"/>
      <c r="DF47" s="16">
        <f t="shared" ca="1" si="52"/>
        <v>2</v>
      </c>
      <c r="DG47" s="16">
        <f ca="1">IF(DB47="-","-",COUNTIFS(DF$6:DF$53,"&lt;"&amp;DF47,$BC$6:$BC$53,INDEX(T_Equipos[Grupo],MATCH(BD47,T_Equipos[NombreEquipo],0))))</f>
        <v>1</v>
      </c>
      <c r="DH47" s="16">
        <f ca="1">DA47+COUNTIFS(DB$6:DB$53,DB47,DG$6:DG$53,"&lt;"&amp;DG47,$BC$6:$BC$53,INDEX(T_Equipos[Grupo],MATCH(BD47,T_Equipos[NombreEquipo],0)))</f>
        <v>2</v>
      </c>
      <c r="DI47" s="16"/>
      <c r="DJ47" s="16">
        <f t="shared" ca="1" si="38"/>
        <v>1</v>
      </c>
      <c r="DK47" s="16">
        <f t="shared" ca="1" si="39"/>
        <v>0</v>
      </c>
      <c r="DL47" s="16">
        <f t="shared" ca="1" si="40"/>
        <v>1</v>
      </c>
      <c r="DM47" s="16" t="str">
        <f t="shared" ca="1" si="46"/>
        <v>1.1</v>
      </c>
      <c r="DN47" s="16" cm="1">
        <f t="array" aca="1" ref="DN47" ca="1">OFFSET(Horarios!$P$3,DJ47-1,0,DL47,1)</f>
        <v>1</v>
      </c>
      <c r="DO47" s="16"/>
      <c r="DP47" s="16" t="s">
        <v>692</v>
      </c>
      <c r="DQ47" s="16" t="str">
        <f t="shared" ca="1" si="47"/>
        <v>DR Congo</v>
      </c>
    </row>
    <row r="48" spans="1:121" ht="15.95" customHeight="1">
      <c r="A48" s="16" t="str">
        <f ca="1">+Equipos!B25</f>
        <v>Tunisia</v>
      </c>
      <c r="B48" s="16"/>
      <c r="C48" s="16"/>
      <c r="D48" s="16" t="str">
        <f t="shared" si="131"/>
        <v>Pendiente</v>
      </c>
      <c r="E48" s="16" t="str">
        <f t="shared" si="132"/>
        <v>-</v>
      </c>
      <c r="F48" s="16" t="str">
        <f t="shared" si="133"/>
        <v>-</v>
      </c>
      <c r="G48" s="16"/>
      <c r="H48" s="16" t="str">
        <f t="shared" si="134"/>
        <v>-</v>
      </c>
      <c r="I48" s="16" t="str">
        <f t="shared" si="135"/>
        <v>-</v>
      </c>
      <c r="J48" s="16"/>
      <c r="K48" s="16" t="str">
        <f t="shared" si="136"/>
        <v>-</v>
      </c>
      <c r="L48" s="16" t="str">
        <f t="shared" si="137"/>
        <v>-</v>
      </c>
      <c r="M48" s="16"/>
      <c r="N48" s="16" t="str">
        <f t="shared" si="138"/>
        <v>-</v>
      </c>
      <c r="O48" s="16" t="str">
        <f t="shared" si="139"/>
        <v>-</v>
      </c>
      <c r="P48" s="16"/>
      <c r="Q48" s="16" t="str">
        <f t="shared" si="140"/>
        <v>-</v>
      </c>
      <c r="R48" s="16" t="str">
        <f t="shared" si="141"/>
        <v>-</v>
      </c>
      <c r="S48" s="16"/>
      <c r="T48" s="16" t="str">
        <f t="shared" si="142"/>
        <v>-</v>
      </c>
      <c r="U48" s="16" t="str">
        <f t="shared" si="143"/>
        <v>-</v>
      </c>
      <c r="V48" s="17"/>
      <c r="W48" s="663"/>
      <c r="X48" s="24">
        <f ca="1">Horarios!C48</f>
        <v>46199.041666666664</v>
      </c>
      <c r="Y48" s="25">
        <f ca="1">Horarios!C48</f>
        <v>46199.041666666664</v>
      </c>
      <c r="Z48" s="26" t="str">
        <f>$Z$8</f>
        <v>R3</v>
      </c>
      <c r="AA48" s="27" t="str">
        <f ca="1">A46</f>
        <v>Japan</v>
      </c>
      <c r="AB48" s="49" t="e" cm="1" vm="22">
        <f t="array" aca="1" ref="AB48" ca="1">Ver_flag_local</f>
        <v>#VALUE!</v>
      </c>
      <c r="AC48" s="50"/>
      <c r="AD48" s="51"/>
      <c r="AE48" s="595" t="e" cm="1" vm="23">
        <f t="array" aca="1" ref="AE48" ca="1">Ver_flag_visit</f>
        <v>#VALUE!</v>
      </c>
      <c r="AF48" s="32" t="str">
        <f ca="1">A47</f>
        <v>Sweden</v>
      </c>
      <c r="AG48" s="323">
        <f t="shared" si="144"/>
        <v>0</v>
      </c>
      <c r="AH48" s="195">
        <v>57</v>
      </c>
      <c r="AI48" s="181" t="str">
        <f t="shared" si="148"/>
        <v>3F</v>
      </c>
      <c r="AJ48" s="42">
        <v>3</v>
      </c>
      <c r="AK48" s="602" t="e" cm="1" vm="23">
        <f t="array" aca="1" ref="AK48" ca="1">Ver_flag_visit</f>
        <v>#VALUE!</v>
      </c>
      <c r="AL48" s="37" t="str">
        <f ca="1">IFERROR(INDEX($BD$6:$BD$53,MATCH(AI48,$BN$6:$BN$53,0)),"")</f>
        <v>Sweden</v>
      </c>
      <c r="AM48" s="38">
        <f t="shared" ca="1" si="147"/>
        <v>0</v>
      </c>
      <c r="AN48" s="39">
        <f t="shared" ca="1" si="147"/>
        <v>0</v>
      </c>
      <c r="AO48" s="39">
        <f t="shared" ca="1" si="147"/>
        <v>0</v>
      </c>
      <c r="AP48" s="39">
        <f t="shared" ca="1" si="147"/>
        <v>0</v>
      </c>
      <c r="AQ48" s="39">
        <f t="shared" ca="1" si="147"/>
        <v>0</v>
      </c>
      <c r="AR48" s="39">
        <f t="shared" ca="1" si="147"/>
        <v>0</v>
      </c>
      <c r="AS48" s="39">
        <f t="shared" ca="1" si="147"/>
        <v>0</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0</v>
      </c>
      <c r="BG48" s="16">
        <f t="shared" ca="1" si="17"/>
        <v>0</v>
      </c>
      <c r="BH48" s="16">
        <f t="shared" ca="1" si="18"/>
        <v>0</v>
      </c>
      <c r="BI48" s="16">
        <f t="shared" ca="1" si="19"/>
        <v>0</v>
      </c>
      <c r="BJ48" s="16">
        <f t="shared" ca="1" si="20"/>
        <v>0</v>
      </c>
      <c r="BK48" s="16">
        <f t="shared" ca="1" si="21"/>
        <v>0</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1</v>
      </c>
      <c r="BT48" s="16" t="str">
        <f ca="1">IF(COUNTIFS($BS$6:$BS$53,BS48,$BC$6:$BC$53,INDEX(T_Equipos[Grupo],MATCH(BD48,T_Equipos[NombreEquipo],0)))=1,"-","P."&amp;BS48&amp;" ("&amp;COUNTIFS($BS$6:$BS$53,BS48,$BC$6:$BC$53,INDEX(T_Equipos[Grupo],MATCH(BD48,T_Equipos[NombreEquipo],0)))&amp;")")</f>
        <v>P.1 (4)</v>
      </c>
      <c r="BU48" s="16">
        <f t="shared" ca="1" si="24"/>
        <v>0</v>
      </c>
      <c r="BV48" s="16">
        <f t="shared" ca="1" si="25"/>
        <v>0</v>
      </c>
      <c r="BW48" s="16">
        <f t="shared" ca="1" si="26"/>
        <v>0</v>
      </c>
      <c r="BX48" s="16">
        <f t="shared" ca="1" si="48"/>
        <v>0</v>
      </c>
      <c r="BY48" s="16">
        <f ca="1">BS48+COUNTIFS($BT$6:$BT$53,BT48,$BX$6:BX$53,"&gt;"&amp;BX48,$BC$6:$BC$53,INDEX(T_Equipos[Grupo],MATCH(BD48,T_Equipos[NombreEquipo],0)))</f>
        <v>1</v>
      </c>
      <c r="BZ48" s="16" t="str">
        <f ca="1">IF(COUNTIFS($BY$6:$BY$53,BY48,$BC$6:$BC$53,INDEX(T_Equipos[Grupo],MATCH(BD48,T_Equipos[NombreEquipo],0)))=1,"-","P."&amp;BY48&amp;" ("&amp;COUNTIFS($BY$6:$BY$53,BY48,$BC$6:$BC$53,INDEX(T_Equipos[Grupo],MATCH(BD48,T_Equipos[NombreEquipo],0)))&amp;")")</f>
        <v>P.1 (4)</v>
      </c>
      <c r="CA48" s="16">
        <f t="shared" ca="1" si="27"/>
        <v>0</v>
      </c>
      <c r="CB48" s="16">
        <f t="shared" ca="1" si="28"/>
        <v>0</v>
      </c>
      <c r="CC48" s="16">
        <f t="shared" ca="1" si="49"/>
        <v>0</v>
      </c>
      <c r="CD48" s="16">
        <f ca="1">BY48+COUNTIFS($BZ$6:$BZ$53,BZ48,$CC$6:CC$53,"&gt;"&amp;CC48,$BC$6:$BC$53,INDEX(T_Equipos[Grupo],MATCH(BD48,T_Equipos[NombreEquipo],0)))</f>
        <v>1</v>
      </c>
      <c r="CE48" s="16" t="str">
        <f ca="1">IF(COUNTIFS($CD$6:$CD$53,CD48,$BC$6:$BC$53,INDEX(T_Equipos[Grupo],MATCH(BD48,T_Equipos[NombreEquipo],0)))=1,"-","P."&amp;CD48&amp;" ("&amp;COUNTIFS($CD$6:$CD$53,CD48,$BC$6:$BC$53,INDEX(T_Equipos[Grupo],MATCH(BD48,T_Equipos[NombreEquipo],0)))&amp;")")</f>
        <v>P.1 (4)</v>
      </c>
      <c r="CF48" s="16">
        <f t="shared" ca="1" si="29"/>
        <v>0</v>
      </c>
      <c r="CG48" s="16">
        <f ca="1">CD48+COUNTIFS($CE$6:$CE$53,CE48,$CF$6:CF$53,"&gt;"&amp;CF48,$BC$6:$BC$53,INDEX(T_Equipos[Grupo],MATCH(BD48,T_Equipos[NombreEquipo],0)))</f>
        <v>1</v>
      </c>
      <c r="CH48" s="16" t="str">
        <f ca="1">IF(COUNTIFS($CG$6:$CG$53,CG48,$BC$6:$BC$53,INDEX(T_Equipos[Grupo],MATCH(BD48,T_Equipos[NombreEquipo],0)))=1,"-","P."&amp;CG48&amp;" ("&amp;COUNTIFS($CG$6:$CG$53,CG48,$BC$6:$BC$53,INDEX(T_Equipos[Grupo],MATCH(BD48,T_Equipos[NombreEquipo],0)))&amp;")")</f>
        <v>P.1 (4)</v>
      </c>
      <c r="CI48" s="16">
        <f t="shared" ca="1" si="30"/>
        <v>0</v>
      </c>
      <c r="CJ48" s="16">
        <f t="shared" ca="1" si="31"/>
        <v>0</v>
      </c>
      <c r="CK48" s="16">
        <f t="shared" ca="1" si="32"/>
        <v>0</v>
      </c>
      <c r="CL48" s="16">
        <f t="shared" ca="1" si="50"/>
        <v>0</v>
      </c>
      <c r="CM48" s="16">
        <f ca="1">CG48+COUNTIFS($CH$6:$CH$53,CH48,$CL$6:CL$53,"&gt;"&amp;CL48,$BC$6:$BC$53,INDEX(T_Equipos[Grupo],MATCH(BD48,T_Equipos[NombreEquipo],0)))</f>
        <v>1</v>
      </c>
      <c r="CN48" s="16" t="str">
        <f ca="1">IF(COUNTIFS($CM$6:$CM$53,CM48,$BC$6:$BC$53,INDEX(T_Equipos[Grupo],MATCH(BD48,T_Equipos[NombreEquipo],0)))=1,"-","P."&amp;CM48&amp;" ("&amp;COUNTIFS($CM$6:$CM$53,CM48,$BC$6:$BC$53,INDEX(T_Equipos[Grupo],MATCH(BD48,T_Equipos[NombreEquipo],0)))&amp;")")</f>
        <v>P.1 (4)</v>
      </c>
      <c r="CO48" s="16">
        <f t="shared" ca="1" si="33"/>
        <v>0</v>
      </c>
      <c r="CP48" s="16">
        <f t="shared" ca="1" si="34"/>
        <v>0</v>
      </c>
      <c r="CQ48" s="16">
        <f t="shared" ca="1" si="51"/>
        <v>0</v>
      </c>
      <c r="CR48" s="16">
        <f ca="1">CM48+COUNTIFS($CN$6:$CN$53,CN48,$CQ$6:CQ$53,"&gt;"&amp;CQ48,$BC$6:$BC$53,INDEX(T_Equipos[Grupo],MATCH(BD48,T_Equipos[NombreEquipo],0)))</f>
        <v>1</v>
      </c>
      <c r="CS48" s="16" t="str">
        <f ca="1">IF(COUNTIFS($CR$6:$CR$53,CR48,$BC$6:$BC$53,INDEX(T_Equipos[Grupo],MATCH(BD48,T_Equipos[NombreEquipo],0)))=1,"-","P."&amp;CR48&amp;" ("&amp;COUNTIFS($CR$6:$CR$53,CR48,$BC$6:$BC$53,INDEX(T_Equipos[Grupo],MATCH(BD48,T_Equipos[NombreEquipo],0)))&amp;")")</f>
        <v>P.1 (4)</v>
      </c>
      <c r="CT48" s="16">
        <f t="shared" ca="1" si="35"/>
        <v>0</v>
      </c>
      <c r="CU48" s="16">
        <f ca="1">CR48+COUNTIFS($CS$6:$CS$53,CS48,$CT$6:CT$53,"&gt;"&amp;CT48,$BC$6:$BC$53,INDEX(T_Equipos[Grupo],MATCH(BD48,T_Equipos[NombreEquipo],0)))</f>
        <v>1</v>
      </c>
      <c r="CV48" s="16" t="str">
        <f ca="1">IF(COUNTIFS($CU$6:$CU$53,CU48,$BC$6:$BC$53,INDEX(T_Equipos[Grupo],MATCH(BD48,T_Equipos[NombreEquipo],0)))=1,"-","P."&amp;CU48&amp;" ("&amp;COUNTIFS($CU$6:$CU$53,CU48,$BC$6:$BC$53,INDEX(T_Equipos[Grupo],MATCH(BD48,T_Equipos[NombreEquipo],0)))&amp;")")</f>
        <v>P.1 (4)</v>
      </c>
      <c r="CW48" s="16">
        <f t="shared" ca="1" si="36"/>
        <v>0</v>
      </c>
      <c r="CX48" s="16">
        <f ca="1">CU48+COUNTIFS($CV$6:$CV$53,CV48,$CW$6:CW$53,"&gt;"&amp;CW48,$BC$6:$BC$53,INDEX(T_Equipos[Grupo],MATCH(BD48,T_Equipos[NombreEquipo],0)))</f>
        <v>1</v>
      </c>
      <c r="CY48" s="16" t="str">
        <f ca="1">IF(COUNTIFS($CX$6:$CX$53,CX48,$BC$6:$BC$53,INDEX(T_Equipos[Grupo],MATCH(BD48,T_Equipos[NombreEquipo],0)))=1,"-","P."&amp;CX48&amp;" ("&amp;COUNTIFS($CX$6:$CX$53,CX48,$BC$6:$BC$53,INDEX(T_Equipos[Grupo],MATCH(BD48,T_Equipos[NombreEquipo],0)))&amp;")")</f>
        <v>P.1 (4)</v>
      </c>
      <c r="CZ48" s="16">
        <f t="shared" ca="1" si="37"/>
        <v>0</v>
      </c>
      <c r="DA48" s="16">
        <f ca="1">CX48+COUNTIFS($CY$6:$CY$53,CY48,$CZ$6:CZ$53,"&gt;"&amp;CZ48,$BC$6:$BC$53,INDEX(T_Equipos[Grupo],MATCH(BD48,T_Equipos[NombreEquipo],0)))</f>
        <v>1</v>
      </c>
      <c r="DB48" s="16" t="str">
        <f ca="1">IF(COUNTIFS($DA$6:$DA$53,DA48,$BC$6:$BC$53,INDEX(T_Equipos[Grupo],MATCH(BD48,T_Equipos[NombreEquipo],0)))=1,"-","P."&amp;DA48&amp;" ("&amp;COUNTIFS($DA$6:$DA$53,DA48,$BC$6:$BC$53,INDEX(T_Equipos[Grupo],MATCH(BD48,T_Equipos[NombreEquipo],0)))&amp;")")</f>
        <v>P.1 (4)</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3</v>
      </c>
      <c r="DE48" s="16"/>
      <c r="DF48" s="16">
        <f t="shared" ca="1" si="52"/>
        <v>3</v>
      </c>
      <c r="DG48" s="16">
        <f ca="1">IF(DB48="-","-",COUNTIFS(DF$6:DF$53,"&lt;"&amp;DF48,$BC$6:$BC$53,INDEX(T_Equipos[Grupo],MATCH(BD48,T_Equipos[NombreEquipo],0))))</f>
        <v>2</v>
      </c>
      <c r="DH48" s="16">
        <f ca="1">DA48+COUNTIFS(DB$6:DB$53,DB48,DG$6:DG$53,"&lt;"&amp;DG48,$BC$6:$BC$53,INDEX(T_Equipos[Grupo],MATCH(BD48,T_Equipos[NombreEquipo],0)))</f>
        <v>3</v>
      </c>
      <c r="DI48" s="16"/>
      <c r="DJ48" s="16">
        <f t="shared" ca="1" si="38"/>
        <v>1</v>
      </c>
      <c r="DK48" s="16">
        <f t="shared" ca="1" si="39"/>
        <v>0</v>
      </c>
      <c r="DL48" s="16">
        <f t="shared" ca="1" si="40"/>
        <v>1</v>
      </c>
      <c r="DM48" s="16" t="str">
        <f t="shared" ca="1" si="46"/>
        <v>1.1</v>
      </c>
      <c r="DN48" s="16" cm="1">
        <f t="array" aca="1" ref="DN48" ca="1">OFFSET(Horarios!$P$3,DJ48-1,0,DL48,1)</f>
        <v>1</v>
      </c>
      <c r="DO48" s="16"/>
      <c r="DP48" s="16" t="s">
        <v>452</v>
      </c>
      <c r="DQ48" s="16" t="str">
        <f t="shared" ca="1" si="47"/>
        <v>Uzbekistan</v>
      </c>
    </row>
    <row r="49" spans="1:121" ht="15.95" customHeight="1" thickBot="1">
      <c r="A49" s="16"/>
      <c r="B49" s="16"/>
      <c r="C49" s="16"/>
      <c r="D49" s="16" t="str">
        <f t="shared" si="131"/>
        <v>Pendiente</v>
      </c>
      <c r="E49" s="16" t="str">
        <f t="shared" si="132"/>
        <v>-</v>
      </c>
      <c r="F49" s="16" t="str">
        <f t="shared" si="133"/>
        <v>-</v>
      </c>
      <c r="G49" s="16"/>
      <c r="H49" s="16" t="str">
        <f t="shared" si="134"/>
        <v>-</v>
      </c>
      <c r="I49" s="16" t="str">
        <f t="shared" si="135"/>
        <v>-</v>
      </c>
      <c r="J49" s="16"/>
      <c r="K49" s="16" t="str">
        <f t="shared" si="136"/>
        <v>-</v>
      </c>
      <c r="L49" s="16" t="str">
        <f t="shared" si="137"/>
        <v>-</v>
      </c>
      <c r="M49" s="16"/>
      <c r="N49" s="16" t="str">
        <f t="shared" si="138"/>
        <v>-</v>
      </c>
      <c r="O49" s="16" t="str">
        <f t="shared" si="139"/>
        <v>-</v>
      </c>
      <c r="P49" s="16"/>
      <c r="Q49" s="16" t="str">
        <f t="shared" si="140"/>
        <v>-</v>
      </c>
      <c r="R49" s="16" t="str">
        <f t="shared" si="141"/>
        <v>-</v>
      </c>
      <c r="S49" s="16"/>
      <c r="T49" s="16" t="str">
        <f t="shared" si="142"/>
        <v>-</v>
      </c>
      <c r="U49" s="16" t="str">
        <f t="shared" si="143"/>
        <v>-</v>
      </c>
      <c r="V49" s="17"/>
      <c r="W49" s="664"/>
      <c r="X49" s="28">
        <f ca="1">Horarios!C49</f>
        <v>46199.041666666664</v>
      </c>
      <c r="Y49" s="29">
        <f ca="1">Horarios!C49</f>
        <v>46199.041666666664</v>
      </c>
      <c r="Z49" s="30" t="str">
        <f>$Z$8</f>
        <v>R3</v>
      </c>
      <c r="AA49" s="31" t="str">
        <f ca="1">A48</f>
        <v>Tunisia</v>
      </c>
      <c r="AB49" s="52" t="e" cm="1" vm="24">
        <f t="array" aca="1" ref="AB49" ca="1">Ver_flag_local</f>
        <v>#VALUE!</v>
      </c>
      <c r="AC49" s="53"/>
      <c r="AD49" s="54"/>
      <c r="AE49" s="596" t="e" cm="1" vm="21">
        <f t="array" aca="1" ref="AE49" ca="1">Ver_flag_visit</f>
        <v>#VALUE!</v>
      </c>
      <c r="AF49" s="33" t="str">
        <f ca="1">A45</f>
        <v>Netherlands</v>
      </c>
      <c r="AG49" s="323">
        <f t="shared" si="144"/>
        <v>0</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0</v>
      </c>
      <c r="AO49" s="47">
        <f t="shared" ca="1" si="147"/>
        <v>0</v>
      </c>
      <c r="AP49" s="47">
        <f t="shared" ca="1" si="147"/>
        <v>0</v>
      </c>
      <c r="AQ49" s="47">
        <f t="shared" ca="1" si="147"/>
        <v>0</v>
      </c>
      <c r="AR49" s="47">
        <f t="shared" ca="1" si="147"/>
        <v>0</v>
      </c>
      <c r="AS49" s="47">
        <f t="shared" ca="1" si="147"/>
        <v>0</v>
      </c>
      <c r="AT49" s="48">
        <f t="shared" ca="1" si="147"/>
        <v>0</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0</v>
      </c>
      <c r="BF49" s="16">
        <f t="shared" ca="1" si="41"/>
        <v>0</v>
      </c>
      <c r="BG49" s="16">
        <f t="shared" ca="1" si="17"/>
        <v>0</v>
      </c>
      <c r="BH49" s="16">
        <f t="shared" ca="1" si="18"/>
        <v>0</v>
      </c>
      <c r="BI49" s="16">
        <f t="shared" ca="1" si="19"/>
        <v>0</v>
      </c>
      <c r="BJ49" s="16">
        <f t="shared" ca="1" si="20"/>
        <v>0</v>
      </c>
      <c r="BK49" s="16">
        <f t="shared" ca="1" si="21"/>
        <v>0</v>
      </c>
      <c r="BL49" s="16">
        <f t="shared" ca="1" si="42"/>
        <v>0</v>
      </c>
      <c r="BM49" s="16" t="str">
        <f t="shared" ca="1" si="22"/>
        <v>4K</v>
      </c>
      <c r="BN49" s="16" t="str">
        <f t="shared" ca="1" si="23"/>
        <v>4K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0</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(4)</v>
      </c>
      <c r="BU49" s="16">
        <f t="shared" ca="1" si="24"/>
        <v>0</v>
      </c>
      <c r="BV49" s="16">
        <f t="shared" ca="1" si="25"/>
        <v>0</v>
      </c>
      <c r="BW49" s="16">
        <f t="shared" ca="1" si="26"/>
        <v>0</v>
      </c>
      <c r="BX49" s="16">
        <f t="shared" ca="1" si="48"/>
        <v>0</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(4)</v>
      </c>
      <c r="CA49" s="16">
        <f t="shared" ca="1" si="27"/>
        <v>0</v>
      </c>
      <c r="CB49" s="16">
        <f t="shared" ca="1" si="28"/>
        <v>0</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(4)</v>
      </c>
      <c r="CF49" s="16">
        <f t="shared" ca="1" si="29"/>
        <v>0</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(4)</v>
      </c>
      <c r="CI49" s="16">
        <f t="shared" ca="1" si="30"/>
        <v>0</v>
      </c>
      <c r="CJ49" s="16">
        <f t="shared" ca="1" si="31"/>
        <v>0</v>
      </c>
      <c r="CK49" s="16">
        <f t="shared" ca="1" si="32"/>
        <v>0</v>
      </c>
      <c r="CL49" s="16">
        <f t="shared" ca="1" si="50"/>
        <v>0</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(4)</v>
      </c>
      <c r="CO49" s="16">
        <f t="shared" ca="1" si="33"/>
        <v>0</v>
      </c>
      <c r="CP49" s="16">
        <f t="shared" ca="1" si="34"/>
        <v>0</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(4)</v>
      </c>
      <c r="CT49" s="16">
        <f t="shared" ca="1" si="35"/>
        <v>0</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(4)</v>
      </c>
      <c r="CW49" s="16">
        <f t="shared" ca="1" si="36"/>
        <v>0</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(4)</v>
      </c>
      <c r="CZ49" s="16">
        <f t="shared" ca="1" si="37"/>
        <v>0</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(4)</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4</v>
      </c>
      <c r="DE49" s="16"/>
      <c r="DF49" s="16">
        <f t="shared" ca="1" si="52"/>
        <v>4</v>
      </c>
      <c r="DG49" s="16">
        <f ca="1">IF(DB49="-","-",COUNTIFS(DF$6:DF$53,"&lt;"&amp;DF49,$BC$6:$BC$53,INDEX(T_Equipos[Grupo],MATCH(BD49,T_Equipos[NombreEquipo],0))))</f>
        <v>3</v>
      </c>
      <c r="DH49" s="16">
        <f ca="1">DA49+COUNTIFS(DB$6:DB$53,DB49,DG$6:DG$53,"&lt;"&amp;DG49,$BC$6:$BC$53,INDEX(T_Equipos[Grupo],MATCH(BD49,T_Equipos[NombreEquipo],0)))</f>
        <v>4</v>
      </c>
      <c r="DI49" s="16"/>
      <c r="DJ49" s="16">
        <f t="shared" ca="1" si="38"/>
        <v>1</v>
      </c>
      <c r="DK49" s="16">
        <f t="shared" ca="1" si="39"/>
        <v>0</v>
      </c>
      <c r="DL49" s="16">
        <f t="shared" ca="1" si="40"/>
        <v>1</v>
      </c>
      <c r="DM49" s="16" t="str">
        <f t="shared" ca="1" si="46"/>
        <v>1.1</v>
      </c>
      <c r="DN49" s="16" cm="1">
        <f t="array" aca="1" ref="DN49" ca="1">OFFSET(Horarios!$P$3,DJ49-1,0,DL49,1)</f>
        <v>1</v>
      </c>
      <c r="DO49" s="16"/>
      <c r="DP49" s="16" t="s">
        <v>693</v>
      </c>
      <c r="DQ49" s="16" t="str">
        <f t="shared" ca="1" si="47"/>
        <v>Colombia</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0</v>
      </c>
      <c r="BF50" s="16">
        <f t="shared" ca="1" si="41"/>
        <v>0</v>
      </c>
      <c r="BG50" s="16">
        <f t="shared" ca="1" si="17"/>
        <v>0</v>
      </c>
      <c r="BH50" s="16">
        <f t="shared" ca="1" si="18"/>
        <v>0</v>
      </c>
      <c r="BI50" s="16">
        <f t="shared" ca="1" si="19"/>
        <v>0</v>
      </c>
      <c r="BJ50" s="16">
        <f t="shared" ca="1" si="20"/>
        <v>0</v>
      </c>
      <c r="BK50" s="16">
        <f t="shared" ca="1" si="21"/>
        <v>0</v>
      </c>
      <c r="BL50" s="16">
        <f t="shared" ca="1" si="42"/>
        <v>0</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0</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(4)</v>
      </c>
      <c r="BU50" s="16">
        <f t="shared" ca="1" si="24"/>
        <v>0</v>
      </c>
      <c r="BV50" s="16">
        <f t="shared" ca="1" si="25"/>
        <v>0</v>
      </c>
      <c r="BW50" s="16">
        <f t="shared" ca="1" si="26"/>
        <v>0</v>
      </c>
      <c r="BX50" s="16">
        <f t="shared" ca="1" si="48"/>
        <v>0</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(4)</v>
      </c>
      <c r="CA50" s="16">
        <f t="shared" ca="1" si="27"/>
        <v>0</v>
      </c>
      <c r="CB50" s="16">
        <f t="shared" ca="1" si="28"/>
        <v>0</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(4)</v>
      </c>
      <c r="CF50" s="16">
        <f t="shared" ca="1" si="29"/>
        <v>0</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(4)</v>
      </c>
      <c r="CI50" s="16">
        <f t="shared" ca="1" si="30"/>
        <v>0</v>
      </c>
      <c r="CJ50" s="16">
        <f t="shared" ca="1" si="31"/>
        <v>0</v>
      </c>
      <c r="CK50" s="16">
        <f t="shared" ca="1" si="32"/>
        <v>0</v>
      </c>
      <c r="CL50" s="16">
        <f t="shared" ca="1" si="50"/>
        <v>0</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(4)</v>
      </c>
      <c r="CO50" s="16">
        <f t="shared" ca="1" si="33"/>
        <v>0</v>
      </c>
      <c r="CP50" s="16">
        <f t="shared" ca="1" si="34"/>
        <v>0</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(4)</v>
      </c>
      <c r="CT50" s="16">
        <f t="shared" ca="1" si="35"/>
        <v>0</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(4)</v>
      </c>
      <c r="CW50" s="16">
        <f t="shared" ca="1" si="36"/>
        <v>0</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P.1 (4)</v>
      </c>
      <c r="CZ50" s="16">
        <f t="shared" ca="1" si="37"/>
        <v>0</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P.1 (4)</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1</v>
      </c>
      <c r="DE50" s="16"/>
      <c r="DF50" s="16">
        <f t="shared" ca="1" si="52"/>
        <v>1</v>
      </c>
      <c r="DG50" s="16">
        <f ca="1">IF(DB50="-","-",COUNTIFS(DF$6:DF$53,"&lt;"&amp;DF50,$BC$6:$BC$53,INDEX(T_Equipos[Grupo],MATCH(BD50,T_Equipos[NombreEquipo],0))))</f>
        <v>0</v>
      </c>
      <c r="DH50" s="16">
        <f ca="1">DA50+COUNTIFS(DB$6:DB$53,DB50,DG$6:DG$53,"&lt;"&amp;DG50,$BC$6:$BC$53,INDEX(T_Equipos[Grupo],MATCH(BD50,T_Equipos[NombreEquipo],0)))</f>
        <v>1</v>
      </c>
      <c r="DI50" s="16"/>
      <c r="DJ50" s="16">
        <f t="shared" ca="1" si="38"/>
        <v>1</v>
      </c>
      <c r="DK50" s="16">
        <f t="shared" ca="1" si="39"/>
        <v>0</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0</v>
      </c>
      <c r="BF51" s="16">
        <f t="shared" ca="1" si="41"/>
        <v>0</v>
      </c>
      <c r="BG51" s="16">
        <f t="shared" ca="1" si="17"/>
        <v>0</v>
      </c>
      <c r="BH51" s="16">
        <f t="shared" ca="1" si="18"/>
        <v>0</v>
      </c>
      <c r="BI51" s="16">
        <f t="shared" ca="1" si="19"/>
        <v>0</v>
      </c>
      <c r="BJ51" s="16">
        <f t="shared" ca="1" si="20"/>
        <v>0</v>
      </c>
      <c r="BK51" s="16">
        <f t="shared" ca="1" si="21"/>
        <v>0</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0</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(4)</v>
      </c>
      <c r="BU51" s="16">
        <f t="shared" ca="1" si="24"/>
        <v>0</v>
      </c>
      <c r="BV51" s="16">
        <f t="shared" ca="1" si="25"/>
        <v>0</v>
      </c>
      <c r="BW51" s="16">
        <f t="shared" ca="1" si="26"/>
        <v>0</v>
      </c>
      <c r="BX51" s="16">
        <f t="shared" ca="1" si="48"/>
        <v>0</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(4)</v>
      </c>
      <c r="CA51" s="16">
        <f t="shared" ca="1" si="27"/>
        <v>0</v>
      </c>
      <c r="CB51" s="16">
        <f t="shared" ca="1" si="28"/>
        <v>0</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(4)</v>
      </c>
      <c r="CF51" s="16">
        <f t="shared" ca="1" si="29"/>
        <v>0</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(4)</v>
      </c>
      <c r="CI51" s="16">
        <f t="shared" ca="1" si="30"/>
        <v>0</v>
      </c>
      <c r="CJ51" s="16">
        <f t="shared" ca="1" si="31"/>
        <v>0</v>
      </c>
      <c r="CK51" s="16">
        <f t="shared" ca="1" si="32"/>
        <v>0</v>
      </c>
      <c r="CL51" s="16">
        <f t="shared" ca="1" si="50"/>
        <v>0</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(4)</v>
      </c>
      <c r="CO51" s="16">
        <f t="shared" ca="1" si="33"/>
        <v>0</v>
      </c>
      <c r="CP51" s="16">
        <f t="shared" ca="1" si="34"/>
        <v>0</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(4)</v>
      </c>
      <c r="CT51" s="16">
        <f t="shared" ca="1" si="35"/>
        <v>0</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(4)</v>
      </c>
      <c r="CW51" s="16">
        <f t="shared" ca="1" si="36"/>
        <v>0</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P.1 (4)</v>
      </c>
      <c r="CZ51" s="16">
        <f t="shared" ca="1" si="37"/>
        <v>0</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P.1 (4)</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1</v>
      </c>
      <c r="DK51" s="16">
        <f t="shared" ca="1" si="39"/>
        <v>0</v>
      </c>
      <c r="DL51" s="16">
        <f t="shared" ca="1" si="40"/>
        <v>1</v>
      </c>
      <c r="DM51" s="16" t="str">
        <f t="shared" ca="1" si="46"/>
        <v>1.1</v>
      </c>
      <c r="DN51" s="16" cm="1">
        <f t="array" aca="1" ref="DN51" ca="1">OFFSET(Horarios!$P$3,DJ51-1,0,DL51,1)</f>
        <v>1</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Pendiente</v>
      </c>
      <c r="E52" s="16" t="str">
        <f t="shared" ref="E52:E57" si="150">IF(D52="Pendiente","-",INDEX($BT$6:$BT$53,MATCH($AA52,$BD$6:$BD$53,0)))</f>
        <v>-</v>
      </c>
      <c r="F52" s="16" t="str">
        <f t="shared" ref="F52:F57" si="151">IF(D52="Pendiente","-",INDEX($BT$6:$BT$53,MATCH($AF52,$BD$6:$BD$53,0)))</f>
        <v>-</v>
      </c>
      <c r="G52" s="16"/>
      <c r="H52" s="16" t="str">
        <f t="shared" ref="H52:H57" si="152">IF(D52="Pendiente","-",INDEX($BZ$6:$BZ$53,MATCH($AA52,$BD$6:$BD$53,0)))</f>
        <v>-</v>
      </c>
      <c r="I52" s="16" t="str">
        <f t="shared" ref="I52:I57" si="153">IF(D52="Pendiente","-",INDEX($BZ$6:$BZ$53,MATCH($AF52,$BD$6:$BD$53,0)))</f>
        <v>-</v>
      </c>
      <c r="J52" s="16"/>
      <c r="K52" s="16" t="str">
        <f t="shared" ref="K52:K57" si="154">IF(D52="Pendiente","-",INDEX($CE$6:$CE$53,MATCH($AA52,$BD$6:$BD$53,0)))</f>
        <v>-</v>
      </c>
      <c r="L52" s="16" t="str">
        <f t="shared" ref="L52:L57" si="155">IF(D52="Pendiente","-",INDEX($CE$6:$CE$53,MATCH($AF52,$BD$6:$BD$53,0)))</f>
        <v>-</v>
      </c>
      <c r="M52" s="16"/>
      <c r="N52" s="16" t="str">
        <f t="shared" ref="N52:N57" si="156">IF(D52="Pendiente","-",INDEX($CH$6:$CH$53,MATCH($AA52,$BD$6:$BD$53,0)))</f>
        <v>-</v>
      </c>
      <c r="O52" s="16" t="str">
        <f t="shared" ref="O52:O57" si="157">IF(D52="Pendiente","-",INDEX($CH$6:$CH$53,MATCH($AF52,$BD$6:$BD$53,0)))</f>
        <v>-</v>
      </c>
      <c r="P52" s="16"/>
      <c r="Q52" s="16" t="str">
        <f t="shared" ref="Q52:Q57" si="158">IF(D52="Pendiente","-",INDEX($CN$6:$CN$53,MATCH($AA52,$BD$6:$BD$53,0)))</f>
        <v>-</v>
      </c>
      <c r="R52" s="16" t="str">
        <f t="shared" ref="R52:R57" si="159">IF(D52="Pendiente","-",INDEX($CN$6:$CN$53,MATCH($AF52,$BD$6:$BD$53,0)))</f>
        <v>-</v>
      </c>
      <c r="S52" s="16"/>
      <c r="T52" s="16" t="str">
        <f t="shared" ref="T52:T57" si="160">IF(D52="Pendiente","-",INDEX($CS$6:$CS$53,MATCH($AA52,$BD$6:$BD$53,0)))</f>
        <v>-</v>
      </c>
      <c r="U52" s="16" t="str">
        <f t="shared" ref="U52:U57" si="161">IF(D52="Pendiente","-",INDEX($CS$6:$CS$53,MATCH($AF52,$BD$6:$BD$53,0)))</f>
        <v>-</v>
      </c>
      <c r="V52" s="17"/>
      <c r="W52" s="683" t="s">
        <v>6</v>
      </c>
      <c r="X52" s="24">
        <f ca="1">Horarios!C52</f>
        <v>46188.875</v>
      </c>
      <c r="Y52" s="25">
        <f ca="1">Horarios!C52</f>
        <v>46188.875</v>
      </c>
      <c r="Z52" s="26" t="str">
        <f>$Z$4</f>
        <v>R1</v>
      </c>
      <c r="AA52" s="27" t="str">
        <f ca="1">A53</f>
        <v>Belgium</v>
      </c>
      <c r="AB52" s="49" t="e" cm="1" vm="25">
        <f t="array" aca="1" ref="AB52" ca="1">Ver_flag_local</f>
        <v>#VALUE!</v>
      </c>
      <c r="AC52" s="50"/>
      <c r="AD52" s="51"/>
      <c r="AE52" s="595" t="e" cm="1" vm="26">
        <f t="array" aca="1" ref="AE52" ca="1">Ver_flag_visit</f>
        <v>#VALUE!</v>
      </c>
      <c r="AF52" s="32" t="str">
        <f ca="1">A54</f>
        <v>Egypt</v>
      </c>
      <c r="AG52" s="323">
        <f t="shared" ref="AG52:AG57" si="162">IF(NOT(OR(ISBLANK(AC52),ISBLANK(AD52))),1,0)</f>
        <v>0</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0</v>
      </c>
      <c r="BG52" s="16">
        <f t="shared" ca="1" si="17"/>
        <v>0</v>
      </c>
      <c r="BH52" s="16">
        <f t="shared" ca="1" si="18"/>
        <v>0</v>
      </c>
      <c r="BI52" s="16">
        <f t="shared" ca="1" si="19"/>
        <v>0</v>
      </c>
      <c r="BJ52" s="16">
        <f t="shared" ca="1" si="20"/>
        <v>0</v>
      </c>
      <c r="BK52" s="16">
        <f t="shared" ca="1" si="21"/>
        <v>0</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(4)</v>
      </c>
      <c r="BU52" s="16">
        <f t="shared" ca="1" si="24"/>
        <v>0</v>
      </c>
      <c r="BV52" s="16">
        <f t="shared" ca="1" si="25"/>
        <v>0</v>
      </c>
      <c r="BW52" s="16">
        <f t="shared" ca="1" si="26"/>
        <v>0</v>
      </c>
      <c r="BX52" s="16">
        <f t="shared" ca="1" si="48"/>
        <v>0</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(4)</v>
      </c>
      <c r="CA52" s="16">
        <f t="shared" ca="1" si="27"/>
        <v>0</v>
      </c>
      <c r="CB52" s="16">
        <f t="shared" ca="1" si="28"/>
        <v>0</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(4)</v>
      </c>
      <c r="CF52" s="16">
        <f t="shared" ca="1" si="29"/>
        <v>0</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(4)</v>
      </c>
      <c r="CI52" s="16">
        <f t="shared" ca="1" si="30"/>
        <v>0</v>
      </c>
      <c r="CJ52" s="16">
        <f t="shared" ca="1" si="31"/>
        <v>0</v>
      </c>
      <c r="CK52" s="16">
        <f t="shared" ca="1" si="32"/>
        <v>0</v>
      </c>
      <c r="CL52" s="16">
        <f t="shared" ca="1" si="50"/>
        <v>0</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(4)</v>
      </c>
      <c r="CO52" s="16">
        <f t="shared" ca="1" si="33"/>
        <v>0</v>
      </c>
      <c r="CP52" s="16">
        <f t="shared" ca="1" si="34"/>
        <v>0</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(4)</v>
      </c>
      <c r="CT52" s="16">
        <f t="shared" ca="1" si="35"/>
        <v>0</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(4)</v>
      </c>
      <c r="CW52" s="16">
        <f t="shared" ca="1" si="36"/>
        <v>0</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P.1 (4)</v>
      </c>
      <c r="CZ52" s="16">
        <f t="shared" ca="1" si="37"/>
        <v>0</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P.1 (4)</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1</v>
      </c>
      <c r="DK52" s="16">
        <f t="shared" ca="1" si="39"/>
        <v>0</v>
      </c>
      <c r="DL52" s="16">
        <f t="shared" ca="1" si="40"/>
        <v>1</v>
      </c>
      <c r="DM52" s="16" t="str">
        <f t="shared" ca="1" si="46"/>
        <v>1.1</v>
      </c>
      <c r="DN52" s="16" cm="1">
        <f t="array" aca="1" ref="DN52" ca="1">OFFSET(Horarios!$P$3,DJ52-1,0,DL52,1)</f>
        <v>1</v>
      </c>
      <c r="DO52" s="16"/>
      <c r="DP52" s="16" t="s">
        <v>453</v>
      </c>
      <c r="DQ52" s="16" t="str">
        <f t="shared" ca="1" si="47"/>
        <v>Ghana</v>
      </c>
    </row>
    <row r="53" spans="1:121" ht="15.95" customHeight="1">
      <c r="A53" s="16" t="str">
        <f ca="1">+Equipos!B26</f>
        <v>Belgium</v>
      </c>
      <c r="B53" s="16"/>
      <c r="C53" s="16"/>
      <c r="D53" s="16" t="str">
        <f t="shared" si="149"/>
        <v>Pendiente</v>
      </c>
      <c r="E53" s="16" t="str">
        <f t="shared" si="150"/>
        <v>-</v>
      </c>
      <c r="F53" s="16" t="str">
        <f t="shared" si="151"/>
        <v>-</v>
      </c>
      <c r="G53" s="16"/>
      <c r="H53" s="16" t="str">
        <f t="shared" si="152"/>
        <v>-</v>
      </c>
      <c r="I53" s="16" t="str">
        <f t="shared" si="153"/>
        <v>-</v>
      </c>
      <c r="J53" s="16"/>
      <c r="K53" s="16" t="str">
        <f t="shared" si="154"/>
        <v>-</v>
      </c>
      <c r="L53" s="16" t="str">
        <f t="shared" si="155"/>
        <v>-</v>
      </c>
      <c r="M53" s="16"/>
      <c r="N53" s="16" t="str">
        <f t="shared" si="156"/>
        <v>-</v>
      </c>
      <c r="O53" s="16" t="str">
        <f t="shared" si="157"/>
        <v>-</v>
      </c>
      <c r="P53" s="16"/>
      <c r="Q53" s="16" t="str">
        <f t="shared" si="158"/>
        <v>-</v>
      </c>
      <c r="R53" s="16" t="str">
        <f t="shared" si="159"/>
        <v>-</v>
      </c>
      <c r="S53" s="16"/>
      <c r="T53" s="16" t="str">
        <f t="shared" si="160"/>
        <v>-</v>
      </c>
      <c r="U53" s="16" t="str">
        <f t="shared" si="161"/>
        <v>-</v>
      </c>
      <c r="V53" s="17"/>
      <c r="W53" s="683"/>
      <c r="X53" s="24">
        <f ca="1">Horarios!C53</f>
        <v>46189.125</v>
      </c>
      <c r="Y53" s="25">
        <f ca="1">Horarios!C53</f>
        <v>46189.125</v>
      </c>
      <c r="Z53" s="26" t="str">
        <f>$Z$4</f>
        <v>R1</v>
      </c>
      <c r="AA53" s="27" t="str">
        <f ca="1">A55</f>
        <v>Iran</v>
      </c>
      <c r="AB53" s="49" t="e" cm="1" vm="27">
        <f t="array" aca="1" ref="AB53" ca="1">Ver_flag_local</f>
        <v>#VALUE!</v>
      </c>
      <c r="AC53" s="50"/>
      <c r="AD53" s="51"/>
      <c r="AE53" s="595" t="e" cm="1" vm="28">
        <f t="array" aca="1" ref="AE53" ca="1">Ver_flag_visit</f>
        <v>#VALUE!</v>
      </c>
      <c r="AF53" s="32" t="str">
        <f ca="1">A56</f>
        <v>New Zealand</v>
      </c>
      <c r="AG53" s="323">
        <f t="shared" si="162"/>
        <v>0</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0</v>
      </c>
      <c r="BG53" s="16">
        <f t="shared" ca="1" si="17"/>
        <v>0</v>
      </c>
      <c r="BH53" s="16">
        <f t="shared" ca="1" si="18"/>
        <v>0</v>
      </c>
      <c r="BI53" s="16">
        <f t="shared" ca="1" si="19"/>
        <v>0</v>
      </c>
      <c r="BJ53" s="16">
        <f t="shared" ca="1" si="20"/>
        <v>0</v>
      </c>
      <c r="BK53" s="16">
        <f t="shared" ca="1" si="21"/>
        <v>0</v>
      </c>
      <c r="BL53" s="16">
        <f t="shared" ca="1" si="42"/>
        <v>0</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1</v>
      </c>
      <c r="BT53" s="16" t="str">
        <f ca="1">IF(COUNTIFS($BS$6:$BS$53,BS53,$BC$6:$BC$53,INDEX(T_Equipos[Grupo],MATCH(BD53,T_Equipos[NombreEquipo],0)))=1,"-","P."&amp;BS53&amp;" ("&amp;COUNTIFS($BS$6:$BS$53,BS53,$BC$6:$BC$53,INDEX(T_Equipos[Grupo],MATCH(BD53,T_Equipos[NombreEquipo],0)))&amp;")")</f>
        <v>P.1 (4)</v>
      </c>
      <c r="BU53" s="16">
        <f t="shared" ca="1" si="24"/>
        <v>0</v>
      </c>
      <c r="BV53" s="16">
        <f t="shared" ca="1" si="25"/>
        <v>0</v>
      </c>
      <c r="BW53" s="16">
        <f t="shared" ca="1" si="26"/>
        <v>0</v>
      </c>
      <c r="BX53" s="16">
        <f t="shared" ca="1" si="48"/>
        <v>0</v>
      </c>
      <c r="BY53" s="16">
        <f ca="1">BS53+COUNTIFS($BT$6:$BT$53,BT53,$BX$6:BX$53,"&gt;"&amp;BX53,$BC$6:$BC$53,INDEX(T_Equipos[Grupo],MATCH(BD53,T_Equipos[NombreEquipo],0)))</f>
        <v>1</v>
      </c>
      <c r="BZ53" s="16" t="str">
        <f ca="1">IF(COUNTIFS($BY$6:$BY$53,BY53,$BC$6:$BC$53,INDEX(T_Equipos[Grupo],MATCH(BD53,T_Equipos[NombreEquipo],0)))=1,"-","P."&amp;BY53&amp;" ("&amp;COUNTIFS($BY$6:$BY$53,BY53,$BC$6:$BC$53,INDEX(T_Equipos[Grupo],MATCH(BD53,T_Equipos[NombreEquipo],0)))&amp;")")</f>
        <v>P.1 (4)</v>
      </c>
      <c r="CA53" s="16">
        <f t="shared" ca="1" si="27"/>
        <v>0</v>
      </c>
      <c r="CB53" s="16">
        <f t="shared" ca="1" si="28"/>
        <v>0</v>
      </c>
      <c r="CC53" s="16">
        <f t="shared" ca="1" si="49"/>
        <v>0</v>
      </c>
      <c r="CD53" s="16">
        <f ca="1">BY53+COUNTIFS($BZ$6:$BZ$53,BZ53,$CC$6:CC$53,"&gt;"&amp;CC53,$BC$6:$BC$53,INDEX(T_Equipos[Grupo],MATCH(BD53,T_Equipos[NombreEquipo],0)))</f>
        <v>1</v>
      </c>
      <c r="CE53" s="16" t="str">
        <f ca="1">IF(COUNTIFS($CD$6:$CD$53,CD53,$BC$6:$BC$53,INDEX(T_Equipos[Grupo],MATCH(BD53,T_Equipos[NombreEquipo],0)))=1,"-","P."&amp;CD53&amp;" ("&amp;COUNTIFS($CD$6:$CD$53,CD53,$BC$6:$BC$53,INDEX(T_Equipos[Grupo],MATCH(BD53,T_Equipos[NombreEquipo],0)))&amp;")")</f>
        <v>P.1 (4)</v>
      </c>
      <c r="CF53" s="16">
        <f t="shared" ca="1" si="29"/>
        <v>0</v>
      </c>
      <c r="CG53" s="16">
        <f ca="1">CD53+COUNTIFS($CE$6:$CE$53,CE53,$CF$6:CF$53,"&gt;"&amp;CF53,$BC$6:$BC$53,INDEX(T_Equipos[Grupo],MATCH(BD53,T_Equipos[NombreEquipo],0)))</f>
        <v>1</v>
      </c>
      <c r="CH53" s="16" t="str">
        <f ca="1">IF(COUNTIFS($CG$6:$CG$53,CG53,$BC$6:$BC$53,INDEX(T_Equipos[Grupo],MATCH(BD53,T_Equipos[NombreEquipo],0)))=1,"-","P."&amp;CG53&amp;" ("&amp;COUNTIFS($CG$6:$CG$53,CG53,$BC$6:$BC$53,INDEX(T_Equipos[Grupo],MATCH(BD53,T_Equipos[NombreEquipo],0)))&amp;")")</f>
        <v>P.1 (4)</v>
      </c>
      <c r="CI53" s="16">
        <f t="shared" ca="1" si="30"/>
        <v>0</v>
      </c>
      <c r="CJ53" s="16">
        <f t="shared" ca="1" si="31"/>
        <v>0</v>
      </c>
      <c r="CK53" s="16">
        <f t="shared" ca="1" si="32"/>
        <v>0</v>
      </c>
      <c r="CL53" s="16">
        <f t="shared" ca="1" si="50"/>
        <v>0</v>
      </c>
      <c r="CM53" s="16">
        <f ca="1">CG53+COUNTIFS($CH$6:$CH$53,CH53,$CL$6:CL$53,"&gt;"&amp;CL53,$BC$6:$BC$53,INDEX(T_Equipos[Grupo],MATCH(BD53,T_Equipos[NombreEquipo],0)))</f>
        <v>1</v>
      </c>
      <c r="CN53" s="16" t="str">
        <f ca="1">IF(COUNTIFS($CM$6:$CM$53,CM53,$BC$6:$BC$53,INDEX(T_Equipos[Grupo],MATCH(BD53,T_Equipos[NombreEquipo],0)))=1,"-","P."&amp;CM53&amp;" ("&amp;COUNTIFS($CM$6:$CM$53,CM53,$BC$6:$BC$53,INDEX(T_Equipos[Grupo],MATCH(BD53,T_Equipos[NombreEquipo],0)))&amp;")")</f>
        <v>P.1 (4)</v>
      </c>
      <c r="CO53" s="16">
        <f t="shared" ca="1" si="33"/>
        <v>0</v>
      </c>
      <c r="CP53" s="16">
        <f t="shared" ca="1" si="34"/>
        <v>0</v>
      </c>
      <c r="CQ53" s="16">
        <f t="shared" ca="1" si="51"/>
        <v>0</v>
      </c>
      <c r="CR53" s="16">
        <f ca="1">CM53+COUNTIFS($CN$6:$CN$53,CN53,$CQ$6:CQ$53,"&gt;"&amp;CQ53,$BC$6:$BC$53,INDEX(T_Equipos[Grupo],MATCH(BD53,T_Equipos[NombreEquipo],0)))</f>
        <v>1</v>
      </c>
      <c r="CS53" s="16" t="str">
        <f ca="1">IF(COUNTIFS($CR$6:$CR$53,CR53,$BC$6:$BC$53,INDEX(T_Equipos[Grupo],MATCH(BD53,T_Equipos[NombreEquipo],0)))=1,"-","P."&amp;CR53&amp;" ("&amp;COUNTIFS($CR$6:$CR$53,CR53,$BC$6:$BC$53,INDEX(T_Equipos[Grupo],MATCH(BD53,T_Equipos[NombreEquipo],0)))&amp;")")</f>
        <v>P.1 (4)</v>
      </c>
      <c r="CT53" s="16">
        <f t="shared" ca="1" si="35"/>
        <v>0</v>
      </c>
      <c r="CU53" s="16">
        <f ca="1">CR53+COUNTIFS($CS$6:$CS$53,CS53,$CT$6:CT$53,"&gt;"&amp;CT53,$BC$6:$BC$53,INDEX(T_Equipos[Grupo],MATCH(BD53,T_Equipos[NombreEquipo],0)))</f>
        <v>1</v>
      </c>
      <c r="CV53" s="16" t="str">
        <f ca="1">IF(COUNTIFS($CU$6:$CU$53,CU53,$BC$6:$BC$53,INDEX(T_Equipos[Grupo],MATCH(BD53,T_Equipos[NombreEquipo],0)))=1,"-","P."&amp;CU53&amp;" ("&amp;COUNTIFS($CU$6:$CU$53,CU53,$BC$6:$BC$53,INDEX(T_Equipos[Grupo],MATCH(BD53,T_Equipos[NombreEquipo],0)))&amp;")")</f>
        <v>P.1 (4)</v>
      </c>
      <c r="CW53" s="16">
        <f t="shared" ca="1" si="36"/>
        <v>0</v>
      </c>
      <c r="CX53" s="16">
        <f ca="1">CU53+COUNTIFS($CV$6:$CV$53,CV53,$CW$6:CW$53,"&gt;"&amp;CW53,$BC$6:$BC$53,INDEX(T_Equipos[Grupo],MATCH(BD53,T_Equipos[NombreEquipo],0)))</f>
        <v>1</v>
      </c>
      <c r="CY53" s="16" t="str">
        <f ca="1">IF(COUNTIFS($CX$6:$CX$53,CX53,$BC$6:$BC$53,INDEX(T_Equipos[Grupo],MATCH(BD53,T_Equipos[NombreEquipo],0)))=1,"-","P."&amp;CX53&amp;" ("&amp;COUNTIFS($CX$6:$CX$53,CX53,$BC$6:$BC$53,INDEX(T_Equipos[Grupo],MATCH(BD53,T_Equipos[NombreEquipo],0)))&amp;")")</f>
        <v>P.1 (4)</v>
      </c>
      <c r="CZ53" s="16">
        <f t="shared" ca="1" si="37"/>
        <v>0</v>
      </c>
      <c r="DA53" s="16">
        <f ca="1">CX53+COUNTIFS($CY$6:$CY$53,CY53,$CZ$6:CZ$53,"&gt;"&amp;CZ53,$BC$6:$BC$53,INDEX(T_Equipos[Grupo],MATCH(BD53,T_Equipos[NombreEquipo],0)))</f>
        <v>1</v>
      </c>
      <c r="DB53" s="16" t="str">
        <f ca="1">IF(COUNTIFS($DA$6:$DA$53,DA53,$BC$6:$BC$53,INDEX(T_Equipos[Grupo],MATCH(BD53,T_Equipos[NombreEquipo],0)))=1,"-","P."&amp;DA53&amp;" ("&amp;COUNTIFS($DA$6:$DA$53,DA53,$BC$6:$BC$53,INDEX(T_Equipos[Grupo],MATCH(BD53,T_Equipos[NombreEquipo],0)))&amp;")")</f>
        <v>P.1 (4)</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4</v>
      </c>
      <c r="DG53" s="16">
        <f ca="1">IF(DB53="-","-",COUNTIFS(DF$6:DF$53,"&lt;"&amp;DF53,$BC$6:$BC$53,INDEX(T_Equipos[Grupo],MATCH(BD53,T_Equipos[NombreEquipo],0))))</f>
        <v>3</v>
      </c>
      <c r="DH53" s="16">
        <f ca="1">DA53+COUNTIFS(DB$6:DB$53,DB53,DG$6:DG$53,"&lt;"&amp;DG53,$BC$6:$BC$53,INDEX(T_Equipos[Grupo],MATCH(BD53,T_Equipos[NombreEquipo],0)))</f>
        <v>4</v>
      </c>
      <c r="DI53" s="16"/>
      <c r="DJ53" s="16">
        <f t="shared" ca="1" si="38"/>
        <v>1</v>
      </c>
      <c r="DK53" s="16">
        <f t="shared" ca="1" si="39"/>
        <v>0</v>
      </c>
      <c r="DL53" s="16">
        <f t="shared" ca="1" si="40"/>
        <v>1</v>
      </c>
      <c r="DM53" s="16" t="str">
        <f t="shared" ca="1" si="46"/>
        <v>1.1</v>
      </c>
      <c r="DN53" s="16" cm="1">
        <f t="array" aca="1" ref="DN53" ca="1">OFFSET(Horarios!$P$3,DJ53-1,0,DL53,1)</f>
        <v>1</v>
      </c>
      <c r="DO53" s="16"/>
      <c r="DP53" s="16" t="s">
        <v>696</v>
      </c>
      <c r="DQ53" s="16" t="str">
        <f t="shared" ca="1" si="47"/>
        <v>Panama</v>
      </c>
    </row>
    <row r="54" spans="1:121" ht="15.95" customHeight="1">
      <c r="A54" s="16" t="str">
        <f ca="1">+Equipos!B27</f>
        <v>Egypt</v>
      </c>
      <c r="B54" s="16"/>
      <c r="C54" s="16"/>
      <c r="D54" s="16" t="str">
        <f t="shared" si="149"/>
        <v>Pendiente</v>
      </c>
      <c r="E54" s="16" t="str">
        <f t="shared" si="150"/>
        <v>-</v>
      </c>
      <c r="F54" s="16" t="str">
        <f t="shared" si="151"/>
        <v>-</v>
      </c>
      <c r="G54" s="16"/>
      <c r="H54" s="16" t="str">
        <f t="shared" si="152"/>
        <v>-</v>
      </c>
      <c r="I54" s="16" t="str">
        <f t="shared" si="153"/>
        <v>-</v>
      </c>
      <c r="J54" s="16"/>
      <c r="K54" s="16" t="str">
        <f t="shared" si="154"/>
        <v>-</v>
      </c>
      <c r="L54" s="16" t="str">
        <f t="shared" si="155"/>
        <v>-</v>
      </c>
      <c r="M54" s="16"/>
      <c r="N54" s="16" t="str">
        <f t="shared" si="156"/>
        <v>-</v>
      </c>
      <c r="O54" s="16" t="str">
        <f t="shared" si="157"/>
        <v>-</v>
      </c>
      <c r="P54" s="16"/>
      <c r="Q54" s="16" t="str">
        <f t="shared" si="158"/>
        <v>-</v>
      </c>
      <c r="R54" s="16" t="str">
        <f t="shared" si="159"/>
        <v>-</v>
      </c>
      <c r="S54" s="16"/>
      <c r="T54" s="16" t="str">
        <f t="shared" si="160"/>
        <v>-</v>
      </c>
      <c r="U54" s="16" t="str">
        <f t="shared" si="161"/>
        <v>-</v>
      </c>
      <c r="V54" s="17"/>
      <c r="W54" s="683"/>
      <c r="X54" s="24">
        <f ca="1">Horarios!C54</f>
        <v>46194.875</v>
      </c>
      <c r="Y54" s="25">
        <f ca="1">Horarios!C54</f>
        <v>46194.875</v>
      </c>
      <c r="Z54" s="26" t="str">
        <f>$Z$6</f>
        <v>R2</v>
      </c>
      <c r="AA54" s="27" t="str">
        <f ca="1">A53</f>
        <v>Belgium</v>
      </c>
      <c r="AB54" s="49" t="e" cm="1" vm="25">
        <f t="array" aca="1" ref="AB54" ca="1">Ver_flag_local</f>
        <v>#VALUE!</v>
      </c>
      <c r="AC54" s="50"/>
      <c r="AD54" s="51"/>
      <c r="AE54" s="595" t="e" cm="1" vm="27">
        <f t="array" aca="1" ref="AE54" ca="1">Ver_flag_visit</f>
        <v>#VALUE!</v>
      </c>
      <c r="AF54" s="32" t="str">
        <f ca="1">A55</f>
        <v>Iran</v>
      </c>
      <c r="AG54" s="323">
        <f t="shared" si="162"/>
        <v>0</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0</v>
      </c>
      <c r="AN54" s="36">
        <f t="shared" ca="1" si="165"/>
        <v>0</v>
      </c>
      <c r="AO54" s="36">
        <f t="shared" ca="1" si="165"/>
        <v>0</v>
      </c>
      <c r="AP54" s="36">
        <f t="shared" ca="1" si="165"/>
        <v>0</v>
      </c>
      <c r="AQ54" s="36">
        <f t="shared" ca="1" si="165"/>
        <v>0</v>
      </c>
      <c r="AR54" s="36">
        <f t="shared" ca="1" si="165"/>
        <v>0</v>
      </c>
      <c r="AS54" s="36">
        <f t="shared" ca="1" si="165"/>
        <v>0</v>
      </c>
      <c r="AT54" s="41">
        <f t="shared" ca="1" si="165"/>
        <v>0</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Pendiente</v>
      </c>
      <c r="E55" s="16" t="str">
        <f t="shared" si="150"/>
        <v>-</v>
      </c>
      <c r="F55" s="16" t="str">
        <f t="shared" si="151"/>
        <v>-</v>
      </c>
      <c r="G55" s="16"/>
      <c r="H55" s="16" t="str">
        <f t="shared" si="152"/>
        <v>-</v>
      </c>
      <c r="I55" s="16" t="str">
        <f t="shared" si="153"/>
        <v>-</v>
      </c>
      <c r="J55" s="16"/>
      <c r="K55" s="16" t="str">
        <f t="shared" si="154"/>
        <v>-</v>
      </c>
      <c r="L55" s="16" t="str">
        <f t="shared" si="155"/>
        <v>-</v>
      </c>
      <c r="M55" s="16"/>
      <c r="N55" s="16" t="str">
        <f t="shared" si="156"/>
        <v>-</v>
      </c>
      <c r="O55" s="16" t="str">
        <f t="shared" si="157"/>
        <v>-</v>
      </c>
      <c r="P55" s="16"/>
      <c r="Q55" s="16" t="str">
        <f t="shared" si="158"/>
        <v>-</v>
      </c>
      <c r="R55" s="16" t="str">
        <f t="shared" si="159"/>
        <v>-</v>
      </c>
      <c r="S55" s="16"/>
      <c r="T55" s="16" t="str">
        <f t="shared" si="160"/>
        <v>-</v>
      </c>
      <c r="U55" s="16" t="str">
        <f t="shared" si="161"/>
        <v>-</v>
      </c>
      <c r="V55" s="17"/>
      <c r="W55" s="683"/>
      <c r="X55" s="24">
        <f ca="1">Horarios!C55</f>
        <v>46195.125</v>
      </c>
      <c r="Y55" s="25">
        <f ca="1">Horarios!C55</f>
        <v>46195.125</v>
      </c>
      <c r="Z55" s="26" t="str">
        <f>$Z$6</f>
        <v>R2</v>
      </c>
      <c r="AA55" s="27" t="str">
        <f ca="1">A56</f>
        <v>New Zealand</v>
      </c>
      <c r="AB55" s="49" t="e" cm="1" vm="28">
        <f t="array" aca="1" ref="AB55" ca="1">Ver_flag_local</f>
        <v>#VALUE!</v>
      </c>
      <c r="AC55" s="50"/>
      <c r="AD55" s="51"/>
      <c r="AE55" s="595" t="e" cm="1" vm="26">
        <f t="array" aca="1" ref="AE55" ca="1">Ver_flag_visit</f>
        <v>#VALUE!</v>
      </c>
      <c r="AF55" s="32" t="str">
        <f ca="1">A54</f>
        <v>Egypt</v>
      </c>
      <c r="AG55" s="323">
        <f t="shared" si="162"/>
        <v>0</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0</v>
      </c>
      <c r="AN55" s="39">
        <f t="shared" ca="1" si="165"/>
        <v>0</v>
      </c>
      <c r="AO55" s="39">
        <f t="shared" ca="1" si="165"/>
        <v>0</v>
      </c>
      <c r="AP55" s="39">
        <f t="shared" ca="1" si="165"/>
        <v>0</v>
      </c>
      <c r="AQ55" s="39">
        <f t="shared" ca="1" si="165"/>
        <v>0</v>
      </c>
      <c r="AR55" s="39">
        <f t="shared" ca="1" si="165"/>
        <v>0</v>
      </c>
      <c r="AS55" s="39">
        <f t="shared" ca="1" si="165"/>
        <v>0</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Pendiente</v>
      </c>
      <c r="E56" s="16" t="str">
        <f t="shared" si="150"/>
        <v>-</v>
      </c>
      <c r="F56" s="16" t="str">
        <f t="shared" si="151"/>
        <v>-</v>
      </c>
      <c r="G56" s="16"/>
      <c r="H56" s="16" t="str">
        <f t="shared" si="152"/>
        <v>-</v>
      </c>
      <c r="I56" s="16" t="str">
        <f t="shared" si="153"/>
        <v>-</v>
      </c>
      <c r="J56" s="16"/>
      <c r="K56" s="16" t="str">
        <f t="shared" si="154"/>
        <v>-</v>
      </c>
      <c r="L56" s="16" t="str">
        <f t="shared" si="155"/>
        <v>-</v>
      </c>
      <c r="M56" s="16"/>
      <c r="N56" s="16" t="str">
        <f t="shared" si="156"/>
        <v>-</v>
      </c>
      <c r="O56" s="16" t="str">
        <f t="shared" si="157"/>
        <v>-</v>
      </c>
      <c r="P56" s="16"/>
      <c r="Q56" s="16" t="str">
        <f t="shared" si="158"/>
        <v>-</v>
      </c>
      <c r="R56" s="16" t="str">
        <f t="shared" si="159"/>
        <v>-</v>
      </c>
      <c r="S56" s="16"/>
      <c r="T56" s="16" t="str">
        <f t="shared" si="160"/>
        <v>-</v>
      </c>
      <c r="U56" s="16" t="str">
        <f t="shared" si="161"/>
        <v>-</v>
      </c>
      <c r="V56" s="17"/>
      <c r="W56" s="683"/>
      <c r="X56" s="24">
        <f ca="1">Horarios!C56</f>
        <v>46200.208333333336</v>
      </c>
      <c r="Y56" s="25">
        <f ca="1">Horarios!C56</f>
        <v>46200.208333333336</v>
      </c>
      <c r="Z56" s="26" t="str">
        <f>$Z$8</f>
        <v>R3</v>
      </c>
      <c r="AA56" s="27" t="str">
        <f ca="1">A54</f>
        <v>Egypt</v>
      </c>
      <c r="AB56" s="49" t="e" cm="1" vm="26">
        <f t="array" aca="1" ref="AB56" ca="1">Ver_flag_local</f>
        <v>#VALUE!</v>
      </c>
      <c r="AC56" s="50"/>
      <c r="AD56" s="51"/>
      <c r="AE56" s="595" t="e" cm="1" vm="27">
        <f t="array" aca="1" ref="AE56" ca="1">Ver_flag_visit</f>
        <v>#VALUE!</v>
      </c>
      <c r="AF56" s="32" t="str">
        <f ca="1">A55</f>
        <v>Iran</v>
      </c>
      <c r="AG56" s="323">
        <f t="shared" si="162"/>
        <v>0</v>
      </c>
      <c r="AH56" s="195">
        <v>63</v>
      </c>
      <c r="AI56" s="181" t="str">
        <f t="shared" si="166"/>
        <v>3G</v>
      </c>
      <c r="AJ56" s="42">
        <v>3</v>
      </c>
      <c r="AK56" s="602" t="e" cm="1" vm="27">
        <f t="array" aca="1" ref="AK56" ca="1">Ver_flag_visit</f>
        <v>#VALUE!</v>
      </c>
      <c r="AL56" s="37" t="str">
        <f ca="1">IFERROR(INDEX($BD$6:$BD$53,MATCH(AI56,$BN$6:$BN$53,0)),"")</f>
        <v>Iran</v>
      </c>
      <c r="AM56" s="38">
        <f t="shared" ca="1" si="165"/>
        <v>0</v>
      </c>
      <c r="AN56" s="39">
        <f t="shared" ca="1" si="165"/>
        <v>0</v>
      </c>
      <c r="AO56" s="39">
        <f t="shared" ca="1" si="165"/>
        <v>0</v>
      </c>
      <c r="AP56" s="39">
        <f t="shared" ca="1" si="165"/>
        <v>0</v>
      </c>
      <c r="AQ56" s="39">
        <f t="shared" ca="1" si="165"/>
        <v>0</v>
      </c>
      <c r="AR56" s="39">
        <f t="shared" ca="1" si="165"/>
        <v>0</v>
      </c>
      <c r="AS56" s="39">
        <f t="shared" ca="1" si="165"/>
        <v>0</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Pendiente</v>
      </c>
      <c r="E57" s="16" t="str">
        <f t="shared" si="150"/>
        <v>-</v>
      </c>
      <c r="F57" s="16" t="str">
        <f t="shared" si="151"/>
        <v>-</v>
      </c>
      <c r="G57" s="16"/>
      <c r="H57" s="16" t="str">
        <f t="shared" si="152"/>
        <v>-</v>
      </c>
      <c r="I57" s="16" t="str">
        <f t="shared" si="153"/>
        <v>-</v>
      </c>
      <c r="J57" s="16"/>
      <c r="K57" s="16" t="str">
        <f t="shared" si="154"/>
        <v>-</v>
      </c>
      <c r="L57" s="16" t="str">
        <f t="shared" si="155"/>
        <v>-</v>
      </c>
      <c r="M57" s="16"/>
      <c r="N57" s="16" t="str">
        <f t="shared" si="156"/>
        <v>-</v>
      </c>
      <c r="O57" s="16" t="str">
        <f t="shared" si="157"/>
        <v>-</v>
      </c>
      <c r="P57" s="16"/>
      <c r="Q57" s="16" t="str">
        <f t="shared" si="158"/>
        <v>-</v>
      </c>
      <c r="R57" s="16" t="str">
        <f t="shared" si="159"/>
        <v>-</v>
      </c>
      <c r="S57" s="16"/>
      <c r="T57" s="16" t="str">
        <f t="shared" si="160"/>
        <v>-</v>
      </c>
      <c r="U57" s="16" t="str">
        <f t="shared" si="161"/>
        <v>-</v>
      </c>
      <c r="V57" s="17"/>
      <c r="W57" s="684"/>
      <c r="X57" s="28">
        <f ca="1">Horarios!C57</f>
        <v>46200.208333333336</v>
      </c>
      <c r="Y57" s="29">
        <f ca="1">Horarios!C57</f>
        <v>46200.208333333336</v>
      </c>
      <c r="Z57" s="30" t="str">
        <f>$Z$8</f>
        <v>R3</v>
      </c>
      <c r="AA57" s="31" t="str">
        <f ca="1">A56</f>
        <v>New Zealand</v>
      </c>
      <c r="AB57" s="52" t="e" cm="1" vm="28">
        <f t="array" aca="1" ref="AB57" ca="1">Ver_flag_local</f>
        <v>#VALUE!</v>
      </c>
      <c r="AC57" s="53"/>
      <c r="AD57" s="54"/>
      <c r="AE57" s="596" t="e" cm="1" vm="25">
        <f t="array" aca="1" ref="AE57" ca="1">Ver_flag_visit</f>
        <v>#VALUE!</v>
      </c>
      <c r="AF57" s="33" t="str">
        <f ca="1">A53</f>
        <v>Belgium</v>
      </c>
      <c r="AG57" s="323">
        <f t="shared" si="162"/>
        <v>0</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0</v>
      </c>
      <c r="AO57" s="47">
        <f t="shared" ca="1" si="165"/>
        <v>0</v>
      </c>
      <c r="AP57" s="47">
        <f t="shared" ca="1" si="165"/>
        <v>0</v>
      </c>
      <c r="AQ57" s="47">
        <f t="shared" ca="1" si="165"/>
        <v>0</v>
      </c>
      <c r="AR57" s="47">
        <f t="shared" ca="1" si="165"/>
        <v>0</v>
      </c>
      <c r="AS57" s="47">
        <f t="shared" ca="1" si="165"/>
        <v>0</v>
      </c>
      <c r="AT57" s="48">
        <f t="shared" ca="1" si="165"/>
        <v>0</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0</v>
      </c>
      <c r="BF58" s="16">
        <f ca="1">+BG58+BH58+BI58</f>
        <v>0</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0</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0</v>
      </c>
      <c r="BL58" s="16">
        <f ca="1">+BJ58-BK58</f>
        <v>0</v>
      </c>
      <c r="BM58" s="16">
        <f ca="1">CB58</f>
        <v>10</v>
      </c>
      <c r="BN58" s="16">
        <f ca="1">CF58</f>
        <v>10</v>
      </c>
      <c r="BO58" s="16" t="str">
        <f t="shared" ref="BO58:BO69" si="174">"4"&amp;BC58</f>
        <v>4A</v>
      </c>
      <c r="BP58" s="16"/>
      <c r="BQ58" s="16"/>
      <c r="BR58" s="16">
        <f t="shared" ref="BR58:BR69" ca="1" si="175">+BE58</f>
        <v>0</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(12)</v>
      </c>
      <c r="BX58" s="16">
        <f t="shared" ref="BX58:BX69" ca="1" si="179">IF(BW58="-","-",BJ58)</f>
        <v>0</v>
      </c>
      <c r="BY58" s="16">
        <f t="shared" ref="BY58:BY69" ca="1" si="180">BV58+COUNTIFS(BW$58:BW$69,BW58,BX$58:BX$69,"&gt;"&amp;BX58)</f>
        <v>1</v>
      </c>
      <c r="BZ58" s="16" t="str">
        <f t="shared" ref="BZ58:BZ69" ca="1" si="181">IF(COUNTIF(BY$58:BY$69,BY58)=1,"-","Pos. "&amp;BY58&amp;" ("&amp;COUNTIF(BY$58:BY$69,BY58)&amp;")")</f>
        <v>Pos. 1 (12)</v>
      </c>
      <c r="CA58" s="16">
        <f t="shared" ref="CA58:CA69" ca="1" si="182">IF(BZ58="-","-",COUNTIF($BD$58:$BD$69,"&gt;"&amp;BD58))</f>
        <v>2</v>
      </c>
      <c r="CB58" s="16">
        <f ca="1">BY58+COUNTIFS(BZ$58:BZ$69,BZ58,CA$58:CA$69,"&gt;"&amp;CA58)</f>
        <v>10</v>
      </c>
      <c r="CC58" s="16"/>
      <c r="CD58" s="16">
        <f t="shared" ref="CD58:CD69" ca="1" si="183">IF(OR(INDEX($AW$102:$AW$113,MATCH($BD58,$AV$102:$AV$113,0))="",BZ58="-"),CB58,INDEX($AW$102:$AW$113,MATCH($BD58,$AV$102:$AV$113,0))+CB58/1000)</f>
        <v>10</v>
      </c>
      <c r="CE58" s="16">
        <f ca="1">IF(BZ58="-","-",COUNTIF(CD$58:CD$69,"&lt;"&amp;CD58))</f>
        <v>9</v>
      </c>
      <c r="CF58" s="16">
        <f ca="1">BY58+COUNTIFS(BZ$58:BZ$69,BZ58,CE$58:CE$69,"&lt;"&amp;CE58)</f>
        <v>10</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Australia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0</v>
      </c>
      <c r="BF59" s="16">
        <f t="shared" ref="BF59:BF69" ca="1" si="189">+BG59+BH59+BI59</f>
        <v>0</v>
      </c>
      <c r="BG59" s="16">
        <f t="shared" ca="1" si="169"/>
        <v>0</v>
      </c>
      <c r="BH59" s="16">
        <f t="shared" ca="1" si="170"/>
        <v>0</v>
      </c>
      <c r="BI59" s="16">
        <f t="shared" ca="1" si="171"/>
        <v>0</v>
      </c>
      <c r="BJ59" s="16">
        <f t="shared" ca="1" si="172"/>
        <v>0</v>
      </c>
      <c r="BK59" s="16">
        <f t="shared" ca="1" si="173"/>
        <v>0</v>
      </c>
      <c r="BL59" s="16">
        <f t="shared" ref="BL59:BL69" ca="1" si="190">+BJ59-BK59</f>
        <v>0</v>
      </c>
      <c r="BM59" s="16">
        <f t="shared" ref="BM59:BM69" ca="1" si="191">CB59</f>
        <v>8</v>
      </c>
      <c r="BN59" s="16">
        <f t="shared" ref="BN59:BN69" ca="1" si="192">CF59</f>
        <v>8</v>
      </c>
      <c r="BO59" s="16" t="str">
        <f t="shared" si="174"/>
        <v>4B</v>
      </c>
      <c r="BP59" s="16"/>
      <c r="BQ59" s="16"/>
      <c r="BR59" s="16">
        <f t="shared" ca="1" si="175"/>
        <v>0</v>
      </c>
      <c r="BS59" s="16">
        <f t="shared" ref="BS59:BS69" ca="1" si="193">COUNTIFS(BR$58:BR$69,"&gt;"&amp;BR59)+1</f>
        <v>1</v>
      </c>
      <c r="BT59" s="16" t="str">
        <f t="shared" ref="BT59:BT69" ca="1" si="194">IF(COUNTIF(BS$58:BS$69,BS59)=1,"-","Pos. "&amp;BS59&amp;" ("&amp;COUNTIF(BS$58:BS$69,BS59)&amp;")")</f>
        <v>Pos. 1 (12)</v>
      </c>
      <c r="BU59" s="16">
        <f t="shared" ca="1" si="176"/>
        <v>0</v>
      </c>
      <c r="BV59" s="16">
        <f t="shared" ca="1" si="177"/>
        <v>1</v>
      </c>
      <c r="BW59" s="16" t="str">
        <f t="shared" ca="1" si="178"/>
        <v>Pos. 1 (12)</v>
      </c>
      <c r="BX59" s="16">
        <f t="shared" ca="1" si="179"/>
        <v>0</v>
      </c>
      <c r="BY59" s="16">
        <f t="shared" ca="1" si="180"/>
        <v>1</v>
      </c>
      <c r="BZ59" s="16" t="str">
        <f t="shared" ca="1" si="181"/>
        <v>Pos. 1 (12)</v>
      </c>
      <c r="CA59" s="16">
        <f t="shared" ca="1" si="182"/>
        <v>4</v>
      </c>
      <c r="CB59" s="16">
        <f t="shared" ref="CB59:CB68" ca="1" si="195">BY59+COUNTIFS(BZ$58:BZ$69,BZ59,CA$58:CA$69,"&gt;"&amp;CA59)</f>
        <v>8</v>
      </c>
      <c r="CC59" s="16"/>
      <c r="CD59" s="16">
        <f t="shared" ca="1" si="183"/>
        <v>8</v>
      </c>
      <c r="CE59" s="16">
        <f t="shared" ref="CE59:CE69" ca="1" si="196">IF(BZ59="-","-",COUNTIF(CD$58:CD$69,"&lt;"&amp;CD59))</f>
        <v>7</v>
      </c>
      <c r="CF59" s="16">
        <f t="shared" ref="CF59:CF69" ca="1" si="197">BY59+COUNTIFS(BZ$58:BZ$69,BZ59,CE$58:CE$69,"&lt;"&amp;CE59)</f>
        <v>8</v>
      </c>
      <c r="DJ59" s="16">
        <f t="shared" ca="1" si="184"/>
        <v>1</v>
      </c>
      <c r="DK59" s="16"/>
      <c r="DL59" s="16">
        <f t="shared" ca="1" si="185"/>
        <v>1</v>
      </c>
      <c r="DM59" s="16" t="str">
        <f t="shared" ca="1" si="186"/>
        <v>1.1</v>
      </c>
      <c r="DN59" s="16" cm="1">
        <f t="array" aca="1" ref="DN59" ca="1">OFFSET(Horarios!$P$3,DJ59-1,0,DL59,1)</f>
        <v>1</v>
      </c>
      <c r="DO59" s="16"/>
      <c r="DP59" s="16">
        <v>2</v>
      </c>
      <c r="DQ59" s="16" t="str">
        <f t="shared" ref="DQ59:DQ69" ca="1" si="198">INDEX($BD$58:$BD$69,MATCH(DP59,$BM$58:$BM$69,0))</f>
        <v>Austria</v>
      </c>
    </row>
    <row r="60" spans="1:121" ht="15.95" customHeight="1" thickBot="1">
      <c r="A60" s="16" t="s">
        <v>32</v>
      </c>
      <c r="B60" s="16" t="s">
        <v>447</v>
      </c>
      <c r="C60" s="16">
        <f>COUNTIF(Equipos!$C$2:$C$49,WORLDCUP!B60)</f>
        <v>4</v>
      </c>
      <c r="D60" s="16" t="str">
        <f t="shared" ref="D60:D65" si="199">IF(OR(AC60="",AD60=""),"Pendiente",IF(AC60&gt;AD60,"Local",IF(AC60&lt;AD60,"Visitante","Empate")))</f>
        <v>Pendiente</v>
      </c>
      <c r="E60" s="16" t="str">
        <f t="shared" ref="E60:E65" si="200">IF(D60="Pendiente","-",INDEX($BT$6:$BT$53,MATCH($AA60,$BD$6:$BD$53,0)))</f>
        <v>-</v>
      </c>
      <c r="F60" s="16" t="str">
        <f t="shared" ref="F60:F65" si="201">IF(D60="Pendiente","-",INDEX($BT$6:$BT$53,MATCH($AF60,$BD$6:$BD$53,0)))</f>
        <v>-</v>
      </c>
      <c r="G60" s="16"/>
      <c r="H60" s="16" t="str">
        <f t="shared" ref="H60:H65" si="202">IF(D60="Pendiente","-",INDEX($BZ$6:$BZ$53,MATCH($AA60,$BD$6:$BD$53,0)))</f>
        <v>-</v>
      </c>
      <c r="I60" s="16" t="str">
        <f t="shared" ref="I60:I65" si="203">IF(D60="Pendiente","-",INDEX($BZ$6:$BZ$53,MATCH($AF60,$BD$6:$BD$53,0)))</f>
        <v>-</v>
      </c>
      <c r="J60" s="16"/>
      <c r="K60" s="16" t="str">
        <f t="shared" ref="K60:K65" si="204">IF(D60="Pendiente","-",INDEX($CE$6:$CE$53,MATCH($AA60,$BD$6:$BD$53,0)))</f>
        <v>-</v>
      </c>
      <c r="L60" s="16" t="str">
        <f t="shared" ref="L60:L65" si="205">IF(D60="Pendiente","-",INDEX($CE$6:$CE$53,MATCH($AF60,$BD$6:$BD$53,0)))</f>
        <v>-</v>
      </c>
      <c r="M60" s="16"/>
      <c r="N60" s="16" t="str">
        <f t="shared" ref="N60:N65" si="206">IF(D60="Pendiente","-",INDEX($CH$6:$CH$53,MATCH($AA60,$BD$6:$BD$53,0)))</f>
        <v>-</v>
      </c>
      <c r="O60" s="16" t="str">
        <f t="shared" ref="O60:O65" si="207">IF(D60="Pendiente","-",INDEX($CH$6:$CH$53,MATCH($AF60,$BD$6:$BD$53,0)))</f>
        <v>-</v>
      </c>
      <c r="P60" s="16"/>
      <c r="Q60" s="16" t="str">
        <f t="shared" ref="Q60:Q65" si="208">IF(D60="Pendiente","-",INDEX($CN$6:$CN$53,MATCH($AA60,$BD$6:$BD$53,0)))</f>
        <v>-</v>
      </c>
      <c r="R60" s="16" t="str">
        <f t="shared" ref="R60:R65" si="209">IF(D60="Pendiente","-",INDEX($CN$6:$CN$53,MATCH($AF60,$BD$6:$BD$53,0)))</f>
        <v>-</v>
      </c>
      <c r="S60" s="16"/>
      <c r="T60" s="16" t="str">
        <f t="shared" ref="T60:T65" si="210">IF(D60="Pendiente","-",INDEX($CS$6:$CS$53,MATCH($AA60,$BD$6:$BD$53,0)))</f>
        <v>-</v>
      </c>
      <c r="U60" s="16" t="str">
        <f t="shared" ref="U60:U65" si="211">IF(D60="Pendiente","-",INDEX($CS$6:$CS$53,MATCH($AF60,$BD$6:$BD$53,0)))</f>
        <v>-</v>
      </c>
      <c r="V60" s="17"/>
      <c r="W60" s="665" t="s">
        <v>447</v>
      </c>
      <c r="X60" s="24">
        <f ca="1">Horarios!C60</f>
        <v>46188.75</v>
      </c>
      <c r="Y60" s="25">
        <f ca="1">Horarios!C60</f>
        <v>46188.75</v>
      </c>
      <c r="Z60" s="26" t="str">
        <f>$Z$4</f>
        <v>R1</v>
      </c>
      <c r="AA60" s="27" t="str">
        <f ca="1">A61</f>
        <v>Spain</v>
      </c>
      <c r="AB60" s="49" t="e" cm="1" vm="29">
        <f t="array" aca="1" ref="AB60" ca="1">Ver_flag_local</f>
        <v>#VALUE!</v>
      </c>
      <c r="AC60" s="50"/>
      <c r="AD60" s="51"/>
      <c r="AE60" s="595" t="e" cm="1" vm="30">
        <f t="array" aca="1" ref="AE60" ca="1">Ver_flag_visit</f>
        <v>#VALUE!</v>
      </c>
      <c r="AF60" s="32" t="str">
        <f ca="1">A62</f>
        <v>Cape Verde</v>
      </c>
      <c r="AG60" s="323">
        <f t="shared" ref="AG60:AG65" si="212">IF(NOT(OR(ISBLANK(AC60),ISBLANK(AD60))),1,0)</f>
        <v>0</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Haiti</v>
      </c>
      <c r="BE60" s="16">
        <f t="shared" ca="1" si="188"/>
        <v>0</v>
      </c>
      <c r="BF60" s="16">
        <f t="shared" ca="1" si="189"/>
        <v>0</v>
      </c>
      <c r="BG60" s="16">
        <f t="shared" ca="1" si="169"/>
        <v>0</v>
      </c>
      <c r="BH60" s="16">
        <f t="shared" ca="1" si="170"/>
        <v>0</v>
      </c>
      <c r="BI60" s="16">
        <f t="shared" ca="1" si="171"/>
        <v>0</v>
      </c>
      <c r="BJ60" s="16">
        <f t="shared" ca="1" si="172"/>
        <v>0</v>
      </c>
      <c r="BK60" s="16">
        <f t="shared" ca="1" si="173"/>
        <v>0</v>
      </c>
      <c r="BL60" s="16">
        <f t="shared" ca="1" si="190"/>
        <v>0</v>
      </c>
      <c r="BM60" s="16">
        <f t="shared" ca="1" si="191"/>
        <v>4</v>
      </c>
      <c r="BN60" s="16">
        <f t="shared" ca="1" si="192"/>
        <v>4</v>
      </c>
      <c r="BO60" s="16" t="str">
        <f t="shared" si="174"/>
        <v>4C</v>
      </c>
      <c r="BP60" s="16"/>
      <c r="BQ60" s="16"/>
      <c r="BR60" s="16">
        <f t="shared" ca="1" si="175"/>
        <v>0</v>
      </c>
      <c r="BS60" s="16">
        <f t="shared" ca="1" si="193"/>
        <v>1</v>
      </c>
      <c r="BT60" s="16" t="str">
        <f t="shared" ca="1" si="194"/>
        <v>Pos. 1 (12)</v>
      </c>
      <c r="BU60" s="16">
        <f t="shared" ca="1" si="176"/>
        <v>0</v>
      </c>
      <c r="BV60" s="16">
        <f t="shared" ca="1" si="177"/>
        <v>1</v>
      </c>
      <c r="BW60" s="16" t="str">
        <f t="shared" ca="1" si="178"/>
        <v>Pos. 1 (12)</v>
      </c>
      <c r="BX60" s="16">
        <f t="shared" ca="1" si="179"/>
        <v>0</v>
      </c>
      <c r="BY60" s="16">
        <f t="shared" ca="1" si="180"/>
        <v>1</v>
      </c>
      <c r="BZ60" s="16" t="str">
        <f t="shared" ca="1" si="181"/>
        <v>Pos. 1 (12)</v>
      </c>
      <c r="CA60" s="16">
        <f t="shared" ca="1" si="182"/>
        <v>8</v>
      </c>
      <c r="CB60" s="16">
        <f t="shared" ca="1" si="195"/>
        <v>4</v>
      </c>
      <c r="CC60" s="16"/>
      <c r="CD60" s="16">
        <f t="shared" ca="1" si="183"/>
        <v>4</v>
      </c>
      <c r="CE60" s="16">
        <f t="shared" ca="1" si="196"/>
        <v>3</v>
      </c>
      <c r="CF60" s="16">
        <f t="shared" ca="1" si="197"/>
        <v>4</v>
      </c>
      <c r="DJ60" s="16">
        <f t="shared" ca="1" si="184"/>
        <v>1</v>
      </c>
      <c r="DK60" s="16"/>
      <c r="DL60" s="16">
        <f t="shared" ca="1" si="185"/>
        <v>1</v>
      </c>
      <c r="DM60" s="16" t="str">
        <f t="shared" ca="1" si="186"/>
        <v>1.1</v>
      </c>
      <c r="DN60" s="16" cm="1">
        <f t="array" aca="1" ref="DN60" ca="1">OFFSET(Horarios!$P$3,DJ60-1,0,DL60,1)</f>
        <v>1</v>
      </c>
      <c r="DO60" s="16"/>
      <c r="DP60" s="16">
        <v>3</v>
      </c>
      <c r="DQ60" s="16" t="str">
        <f t="shared" ca="1" si="198"/>
        <v>Ghana</v>
      </c>
    </row>
    <row r="61" spans="1:121" ht="15.95" customHeight="1">
      <c r="A61" s="16" t="str">
        <f ca="1">+Equipos!B30</f>
        <v>Spain</v>
      </c>
      <c r="B61" s="16"/>
      <c r="C61" s="16"/>
      <c r="D61" s="16" t="str">
        <f t="shared" si="199"/>
        <v>Pendiente</v>
      </c>
      <c r="E61" s="16" t="str">
        <f t="shared" si="200"/>
        <v>-</v>
      </c>
      <c r="F61" s="16" t="str">
        <f t="shared" si="201"/>
        <v>-</v>
      </c>
      <c r="G61" s="16"/>
      <c r="H61" s="16" t="str">
        <f t="shared" si="202"/>
        <v>-</v>
      </c>
      <c r="I61" s="16" t="str">
        <f t="shared" si="203"/>
        <v>-</v>
      </c>
      <c r="J61" s="16"/>
      <c r="K61" s="16" t="str">
        <f t="shared" si="204"/>
        <v>-</v>
      </c>
      <c r="L61" s="16" t="str">
        <f t="shared" si="205"/>
        <v>-</v>
      </c>
      <c r="M61" s="16"/>
      <c r="N61" s="16" t="str">
        <f t="shared" si="206"/>
        <v>-</v>
      </c>
      <c r="O61" s="16" t="str">
        <f t="shared" si="207"/>
        <v>-</v>
      </c>
      <c r="P61" s="16"/>
      <c r="Q61" s="16" t="str">
        <f t="shared" si="208"/>
        <v>-</v>
      </c>
      <c r="R61" s="16" t="str">
        <f t="shared" si="209"/>
        <v>-</v>
      </c>
      <c r="S61" s="16"/>
      <c r="T61" s="16" t="str">
        <f t="shared" si="210"/>
        <v>-</v>
      </c>
      <c r="U61" s="16" t="str">
        <f t="shared" si="211"/>
        <v>-</v>
      </c>
      <c r="V61" s="17"/>
      <c r="W61" s="665"/>
      <c r="X61" s="24">
        <f ca="1">Horarios!C61</f>
        <v>46189</v>
      </c>
      <c r="Y61" s="25">
        <f ca="1">Horarios!C61</f>
        <v>46189</v>
      </c>
      <c r="Z61" s="26" t="str">
        <f>$Z$4</f>
        <v>R1</v>
      </c>
      <c r="AA61" s="27" t="str">
        <f ca="1">A63</f>
        <v>Saudi Arabia</v>
      </c>
      <c r="AB61" s="49" t="e" cm="1" vm="31">
        <f t="array" aca="1" ref="AB61" ca="1">Ver_flag_local</f>
        <v>#VALUE!</v>
      </c>
      <c r="AC61" s="50"/>
      <c r="AD61" s="51"/>
      <c r="AE61" s="595" t="e" cm="1" vm="32">
        <f t="array" aca="1" ref="AE61" ca="1">Ver_flag_visit</f>
        <v>#VALUE!</v>
      </c>
      <c r="AF61" s="32" t="str">
        <f ca="1">A64</f>
        <v>Uruguay</v>
      </c>
      <c r="AG61" s="323">
        <f t="shared" si="212"/>
        <v>0</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0</v>
      </c>
      <c r="BF61" s="16">
        <f t="shared" ca="1" si="189"/>
        <v>0</v>
      </c>
      <c r="BG61" s="16">
        <f t="shared" ca="1" si="169"/>
        <v>0</v>
      </c>
      <c r="BH61" s="16">
        <f t="shared" ca="1" si="170"/>
        <v>0</v>
      </c>
      <c r="BI61" s="16">
        <f t="shared" ca="1" si="171"/>
        <v>0</v>
      </c>
      <c r="BJ61" s="16">
        <f t="shared" ca="1" si="172"/>
        <v>0</v>
      </c>
      <c r="BK61" s="16">
        <f t="shared" ca="1" si="173"/>
        <v>0</v>
      </c>
      <c r="BL61" s="16">
        <f t="shared" ca="1" si="190"/>
        <v>0</v>
      </c>
      <c r="BM61" s="16">
        <f t="shared" ca="1" si="191"/>
        <v>1</v>
      </c>
      <c r="BN61" s="16">
        <f t="shared" ca="1" si="192"/>
        <v>1</v>
      </c>
      <c r="BO61" s="16" t="str">
        <f t="shared" si="174"/>
        <v>4D</v>
      </c>
      <c r="BP61" s="16"/>
      <c r="BQ61" s="16"/>
      <c r="BR61" s="16">
        <f t="shared" ca="1" si="175"/>
        <v>0</v>
      </c>
      <c r="BS61" s="16">
        <f t="shared" ca="1" si="193"/>
        <v>1</v>
      </c>
      <c r="BT61" s="16" t="str">
        <f t="shared" ca="1" si="194"/>
        <v>Pos. 1 (12)</v>
      </c>
      <c r="BU61" s="16">
        <f t="shared" ca="1" si="176"/>
        <v>0</v>
      </c>
      <c r="BV61" s="16">
        <f t="shared" ca="1" si="177"/>
        <v>1</v>
      </c>
      <c r="BW61" s="16" t="str">
        <f t="shared" ca="1" si="178"/>
        <v>Pos. 1 (12)</v>
      </c>
      <c r="BX61" s="16">
        <f t="shared" ca="1" si="179"/>
        <v>0</v>
      </c>
      <c r="BY61" s="16">
        <f t="shared" ca="1" si="180"/>
        <v>1</v>
      </c>
      <c r="BZ61" s="16" t="str">
        <f t="shared" ca="1" si="181"/>
        <v>Pos. 1 (12)</v>
      </c>
      <c r="CA61" s="16">
        <f t="shared" ca="1" si="182"/>
        <v>11</v>
      </c>
      <c r="CB61" s="16">
        <f t="shared" ca="1" si="195"/>
        <v>1</v>
      </c>
      <c r="CC61" s="16"/>
      <c r="CD61" s="16">
        <f t="shared" ca="1" si="183"/>
        <v>1</v>
      </c>
      <c r="CE61" s="16">
        <f t="shared" ca="1" si="196"/>
        <v>0</v>
      </c>
      <c r="CF61" s="16">
        <f t="shared" ca="1" si="197"/>
        <v>1</v>
      </c>
      <c r="DJ61" s="16">
        <f t="shared" ca="1" si="184"/>
        <v>1</v>
      </c>
      <c r="DK61" s="16"/>
      <c r="DL61" s="16">
        <f t="shared" ca="1" si="185"/>
        <v>1</v>
      </c>
      <c r="DM61" s="16" t="str">
        <f t="shared" ca="1" si="186"/>
        <v>1.1</v>
      </c>
      <c r="DN61" s="16" cm="1">
        <f t="array" aca="1" ref="DN61" ca="1">OFFSET(Horarios!$P$3,DJ61-1,0,DL61,1)</f>
        <v>1</v>
      </c>
      <c r="DO61" s="16"/>
      <c r="DP61" s="16">
        <v>4</v>
      </c>
      <c r="DQ61" s="16" t="str">
        <f t="shared" ca="1" si="198"/>
        <v>Haiti</v>
      </c>
    </row>
    <row r="62" spans="1:121" ht="15.95" customHeight="1">
      <c r="A62" s="16" t="str">
        <f ca="1">+Equipos!B31</f>
        <v>Cape Verde</v>
      </c>
      <c r="B62" s="16"/>
      <c r="C62" s="16"/>
      <c r="D62" s="16" t="str">
        <f t="shared" si="199"/>
        <v>Pendiente</v>
      </c>
      <c r="E62" s="16" t="str">
        <f t="shared" si="200"/>
        <v>-</v>
      </c>
      <c r="F62" s="16" t="str">
        <f t="shared" si="201"/>
        <v>-</v>
      </c>
      <c r="G62" s="16"/>
      <c r="H62" s="16" t="str">
        <f t="shared" si="202"/>
        <v>-</v>
      </c>
      <c r="I62" s="16" t="str">
        <f t="shared" si="203"/>
        <v>-</v>
      </c>
      <c r="J62" s="16"/>
      <c r="K62" s="16" t="str">
        <f t="shared" si="204"/>
        <v>-</v>
      </c>
      <c r="L62" s="16" t="str">
        <f t="shared" si="205"/>
        <v>-</v>
      </c>
      <c r="M62" s="16"/>
      <c r="N62" s="16" t="str">
        <f t="shared" si="206"/>
        <v>-</v>
      </c>
      <c r="O62" s="16" t="str">
        <f t="shared" si="207"/>
        <v>-</v>
      </c>
      <c r="P62" s="16"/>
      <c r="Q62" s="16" t="str">
        <f t="shared" si="208"/>
        <v>-</v>
      </c>
      <c r="R62" s="16" t="str">
        <f t="shared" si="209"/>
        <v>-</v>
      </c>
      <c r="S62" s="16"/>
      <c r="T62" s="16" t="str">
        <f t="shared" si="210"/>
        <v>-</v>
      </c>
      <c r="U62" s="16" t="str">
        <f t="shared" si="211"/>
        <v>-</v>
      </c>
      <c r="V62" s="17"/>
      <c r="W62" s="665"/>
      <c r="X62" s="24">
        <f ca="1">Horarios!C62</f>
        <v>46194.75</v>
      </c>
      <c r="Y62" s="25">
        <f ca="1">Horarios!C62</f>
        <v>46194.75</v>
      </c>
      <c r="Z62" s="26" t="str">
        <f>$Z$6</f>
        <v>R2</v>
      </c>
      <c r="AA62" s="27" t="str">
        <f ca="1">A61</f>
        <v>Spain</v>
      </c>
      <c r="AB62" s="49" t="e" cm="1" vm="29">
        <f t="array" aca="1" ref="AB62" ca="1">Ver_flag_local</f>
        <v>#VALUE!</v>
      </c>
      <c r="AC62" s="50"/>
      <c r="AD62" s="51"/>
      <c r="AE62" s="595" t="e" cm="1" vm="31">
        <f t="array" aca="1" ref="AE62" ca="1">Ver_flag_visit</f>
        <v>#VALUE!</v>
      </c>
      <c r="AF62" s="32" t="str">
        <f ca="1">A63</f>
        <v>Saudi Arabia</v>
      </c>
      <c r="AG62" s="323">
        <f t="shared" si="212"/>
        <v>0</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0</v>
      </c>
      <c r="AN62" s="36">
        <f t="shared" ca="1" si="215"/>
        <v>0</v>
      </c>
      <c r="AO62" s="36">
        <f t="shared" ca="1" si="215"/>
        <v>0</v>
      </c>
      <c r="AP62" s="36">
        <f t="shared" ca="1" si="215"/>
        <v>0</v>
      </c>
      <c r="AQ62" s="36">
        <f t="shared" ca="1" si="215"/>
        <v>0</v>
      </c>
      <c r="AR62" s="36">
        <f t="shared" ca="1" si="215"/>
        <v>0</v>
      </c>
      <c r="AS62" s="36">
        <f t="shared" ca="1" si="215"/>
        <v>0</v>
      </c>
      <c r="AT62" s="41">
        <f t="shared" ca="1" si="215"/>
        <v>0</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0</v>
      </c>
      <c r="BF62" s="16">
        <f t="shared" ca="1" si="189"/>
        <v>0</v>
      </c>
      <c r="BG62" s="16">
        <f t="shared" ca="1" si="169"/>
        <v>0</v>
      </c>
      <c r="BH62" s="16">
        <f t="shared" ca="1" si="170"/>
        <v>0</v>
      </c>
      <c r="BI62" s="16">
        <f t="shared" ca="1" si="171"/>
        <v>0</v>
      </c>
      <c r="BJ62" s="16">
        <f t="shared" ca="1" si="172"/>
        <v>0</v>
      </c>
      <c r="BK62" s="16">
        <f t="shared" ca="1" si="173"/>
        <v>0</v>
      </c>
      <c r="BL62" s="16">
        <f t="shared" ca="1" si="190"/>
        <v>0</v>
      </c>
      <c r="BM62" s="16">
        <f t="shared" ca="1" si="191"/>
        <v>7</v>
      </c>
      <c r="BN62" s="16">
        <f t="shared" ca="1" si="192"/>
        <v>7</v>
      </c>
      <c r="BO62" s="16" t="str">
        <f t="shared" si="174"/>
        <v>4E</v>
      </c>
      <c r="BP62" s="16"/>
      <c r="BQ62" s="16"/>
      <c r="BR62" s="16">
        <f t="shared" ca="1" si="175"/>
        <v>0</v>
      </c>
      <c r="BS62" s="16">
        <f t="shared" ca="1" si="193"/>
        <v>1</v>
      </c>
      <c r="BT62" s="16" t="str">
        <f t="shared" ca="1" si="194"/>
        <v>Pos. 1 (12)</v>
      </c>
      <c r="BU62" s="16">
        <f t="shared" ca="1" si="176"/>
        <v>0</v>
      </c>
      <c r="BV62" s="16">
        <f t="shared" ca="1" si="177"/>
        <v>1</v>
      </c>
      <c r="BW62" s="16" t="str">
        <f t="shared" ca="1" si="178"/>
        <v>Pos. 1 (12)</v>
      </c>
      <c r="BX62" s="16">
        <f t="shared" ca="1" si="179"/>
        <v>0</v>
      </c>
      <c r="BY62" s="16">
        <f t="shared" ca="1" si="180"/>
        <v>1</v>
      </c>
      <c r="BZ62" s="16" t="str">
        <f t="shared" ca="1" si="181"/>
        <v>Pos. 1 (12)</v>
      </c>
      <c r="CA62" s="16">
        <f t="shared" ca="1" si="182"/>
        <v>5</v>
      </c>
      <c r="CB62" s="16">
        <f t="shared" ca="1" si="195"/>
        <v>7</v>
      </c>
      <c r="CC62" s="16"/>
      <c r="CD62" s="16">
        <f t="shared" ca="1" si="183"/>
        <v>7</v>
      </c>
      <c r="CE62" s="16">
        <f t="shared" ca="1" si="196"/>
        <v>6</v>
      </c>
      <c r="CF62" s="16">
        <f t="shared" ca="1" si="197"/>
        <v>7</v>
      </c>
      <c r="DJ62" s="16">
        <f t="shared" ca="1" si="184"/>
        <v>1</v>
      </c>
      <c r="DK62" s="16"/>
      <c r="DL62" s="16">
        <f t="shared" ca="1" si="185"/>
        <v>1</v>
      </c>
      <c r="DM62" s="16" t="str">
        <f t="shared" ca="1" si="186"/>
        <v>1.1</v>
      </c>
      <c r="DN62" s="16" cm="1">
        <f t="array" aca="1" ref="DN62" ca="1">OFFSET(Horarios!$P$3,DJ62-1,0,DL62,1)</f>
        <v>1</v>
      </c>
      <c r="DO62" s="16"/>
      <c r="DP62" s="16">
        <v>5</v>
      </c>
      <c r="DQ62" s="16" t="str">
        <f t="shared" ca="1" si="198"/>
        <v>Iran</v>
      </c>
    </row>
    <row r="63" spans="1:121" ht="15.95" customHeight="1">
      <c r="A63" s="16" t="str">
        <f ca="1">+Equipos!B32</f>
        <v>Saudi Arabia</v>
      </c>
      <c r="B63" s="16"/>
      <c r="C63" s="16"/>
      <c r="D63" s="16" t="str">
        <f t="shared" si="199"/>
        <v>Pendiente</v>
      </c>
      <c r="E63" s="16" t="str">
        <f t="shared" si="200"/>
        <v>-</v>
      </c>
      <c r="F63" s="16" t="str">
        <f t="shared" si="201"/>
        <v>-</v>
      </c>
      <c r="G63" s="16"/>
      <c r="H63" s="16" t="str">
        <f t="shared" si="202"/>
        <v>-</v>
      </c>
      <c r="I63" s="16" t="str">
        <f t="shared" si="203"/>
        <v>-</v>
      </c>
      <c r="J63" s="16"/>
      <c r="K63" s="16" t="str">
        <f t="shared" si="204"/>
        <v>-</v>
      </c>
      <c r="L63" s="16" t="str">
        <f t="shared" si="205"/>
        <v>-</v>
      </c>
      <c r="M63" s="16"/>
      <c r="N63" s="16" t="str">
        <f t="shared" si="206"/>
        <v>-</v>
      </c>
      <c r="O63" s="16" t="str">
        <f t="shared" si="207"/>
        <v>-</v>
      </c>
      <c r="P63" s="16"/>
      <c r="Q63" s="16" t="str">
        <f t="shared" si="208"/>
        <v>-</v>
      </c>
      <c r="R63" s="16" t="str">
        <f t="shared" si="209"/>
        <v>-</v>
      </c>
      <c r="S63" s="16"/>
      <c r="T63" s="16" t="str">
        <f t="shared" si="210"/>
        <v>-</v>
      </c>
      <c r="U63" s="16" t="str">
        <f t="shared" si="211"/>
        <v>-</v>
      </c>
      <c r="V63" s="17"/>
      <c r="W63" s="665"/>
      <c r="X63" s="24">
        <f ca="1">Horarios!C63</f>
        <v>46195</v>
      </c>
      <c r="Y63" s="25">
        <f ca="1">Horarios!C63</f>
        <v>46195</v>
      </c>
      <c r="Z63" s="26" t="str">
        <f>$Z$6</f>
        <v>R2</v>
      </c>
      <c r="AA63" s="27" t="str">
        <f ca="1">A64</f>
        <v>Uruguay</v>
      </c>
      <c r="AB63" s="49" t="e" cm="1" vm="32">
        <f t="array" aca="1" ref="AB63" ca="1">Ver_flag_local</f>
        <v>#VALUE!</v>
      </c>
      <c r="AC63" s="50"/>
      <c r="AD63" s="51"/>
      <c r="AE63" s="595" t="e" cm="1" vm="30">
        <f t="array" aca="1" ref="AE63" ca="1">Ver_flag_visit</f>
        <v>#VALUE!</v>
      </c>
      <c r="AF63" s="32" t="str">
        <f ca="1">A62</f>
        <v>Cape Verde</v>
      </c>
      <c r="AG63" s="323">
        <f t="shared" si="212"/>
        <v>0</v>
      </c>
      <c r="AH63" s="195">
        <v>37</v>
      </c>
      <c r="AI63" s="181" t="str">
        <f t="shared" ref="AI63:AI65" si="216">AJ63&amp;$B$60</f>
        <v>2H</v>
      </c>
      <c r="AJ63" s="42">
        <v>2</v>
      </c>
      <c r="AK63" s="602" t="e" cm="1" vm="30">
        <f t="array" aca="1" ref="AK63" ca="1">Ver_flag_visit</f>
        <v>#VALUE!</v>
      </c>
      <c r="AL63" s="37" t="str">
        <f ca="1">IFERROR(INDEX($BD$6:$BD$53,MATCH(AI63,$BN$6:$BN$53,0)),"")</f>
        <v>Cape Verde</v>
      </c>
      <c r="AM63" s="38">
        <f t="shared" ca="1" si="215"/>
        <v>0</v>
      </c>
      <c r="AN63" s="39">
        <f t="shared" ca="1" si="215"/>
        <v>0</v>
      </c>
      <c r="AO63" s="39">
        <f t="shared" ca="1" si="215"/>
        <v>0</v>
      </c>
      <c r="AP63" s="39">
        <f t="shared" ca="1" si="215"/>
        <v>0</v>
      </c>
      <c r="AQ63" s="39">
        <f t="shared" ca="1" si="215"/>
        <v>0</v>
      </c>
      <c r="AR63" s="39">
        <f t="shared" ca="1" si="215"/>
        <v>0</v>
      </c>
      <c r="AS63" s="39">
        <f t="shared" ca="1" si="215"/>
        <v>0</v>
      </c>
      <c r="AT63" s="43">
        <f t="shared" ca="1" si="215"/>
        <v>0</v>
      </c>
      <c r="AU63" s="330">
        <f ca="1">INDEX($DL$6:$DL$53,MATCH(AI63,$DP$6:$DP$53,0))</f>
        <v>1</v>
      </c>
      <c r="AV63" s="182" t="str">
        <f ca="1">INDEX($BD$6:$BD$53,MATCH(AI63,$BM$6:$BM$53,0))</f>
        <v>Cape Verde</v>
      </c>
      <c r="AW63" s="210"/>
      <c r="AX63" s="171"/>
      <c r="AY63" s="203" t="str">
        <f ca="1">+A62</f>
        <v>Cape Verde</v>
      </c>
      <c r="AZ63" s="204"/>
      <c r="BA63" s="176"/>
      <c r="BB63" s="16" t="str">
        <f t="shared" si="187"/>
        <v>3F</v>
      </c>
      <c r="BC63" s="16" t="s">
        <v>4</v>
      </c>
      <c r="BD63" s="16" t="str">
        <f t="shared" ca="1" si="168"/>
        <v>Sweden</v>
      </c>
      <c r="BE63" s="16">
        <f t="shared" ca="1" si="188"/>
        <v>0</v>
      </c>
      <c r="BF63" s="16">
        <f t="shared" ca="1" si="189"/>
        <v>0</v>
      </c>
      <c r="BG63" s="16">
        <f t="shared" ca="1" si="169"/>
        <v>0</v>
      </c>
      <c r="BH63" s="16">
        <f t="shared" ca="1" si="170"/>
        <v>0</v>
      </c>
      <c r="BI63" s="16">
        <f t="shared" ca="1" si="171"/>
        <v>0</v>
      </c>
      <c r="BJ63" s="16">
        <f t="shared" ca="1" si="172"/>
        <v>0</v>
      </c>
      <c r="BK63" s="16">
        <f t="shared" ca="1" si="173"/>
        <v>0</v>
      </c>
      <c r="BL63" s="16">
        <f t="shared" ca="1" si="190"/>
        <v>0</v>
      </c>
      <c r="BM63" s="16">
        <f t="shared" ca="1" si="191"/>
        <v>11</v>
      </c>
      <c r="BN63" s="16">
        <f t="shared" ca="1" si="192"/>
        <v>11</v>
      </c>
      <c r="BO63" s="16" t="str">
        <f t="shared" si="174"/>
        <v>4F</v>
      </c>
      <c r="BP63" s="16"/>
      <c r="BQ63" s="16"/>
      <c r="BR63" s="16">
        <f t="shared" ca="1" si="175"/>
        <v>0</v>
      </c>
      <c r="BS63" s="16">
        <f t="shared" ca="1" si="193"/>
        <v>1</v>
      </c>
      <c r="BT63" s="16" t="str">
        <f t="shared" ca="1" si="194"/>
        <v>Pos. 1 (12)</v>
      </c>
      <c r="BU63" s="16">
        <f t="shared" ca="1" si="176"/>
        <v>0</v>
      </c>
      <c r="BV63" s="16">
        <f t="shared" ca="1" si="177"/>
        <v>1</v>
      </c>
      <c r="BW63" s="16" t="str">
        <f t="shared" ca="1" si="178"/>
        <v>Pos. 1 (12)</v>
      </c>
      <c r="BX63" s="16">
        <f t="shared" ca="1" si="179"/>
        <v>0</v>
      </c>
      <c r="BY63" s="16">
        <f t="shared" ca="1" si="180"/>
        <v>1</v>
      </c>
      <c r="BZ63" s="16" t="str">
        <f t="shared" ca="1" si="181"/>
        <v>Pos. 1 (12)</v>
      </c>
      <c r="CA63" s="16">
        <f t="shared" ca="1" si="182"/>
        <v>1</v>
      </c>
      <c r="CB63" s="16">
        <f t="shared" ca="1" si="195"/>
        <v>11</v>
      </c>
      <c r="CC63" s="16"/>
      <c r="CD63" s="16">
        <f t="shared" ca="1" si="183"/>
        <v>11</v>
      </c>
      <c r="CE63" s="16">
        <f t="shared" ca="1" si="196"/>
        <v>10</v>
      </c>
      <c r="CF63" s="16">
        <f t="shared" ca="1" si="197"/>
        <v>11</v>
      </c>
      <c r="DJ63" s="16">
        <f t="shared" ca="1" si="184"/>
        <v>1</v>
      </c>
      <c r="DK63" s="16"/>
      <c r="DL63" s="16">
        <f t="shared" ca="1" si="185"/>
        <v>1</v>
      </c>
      <c r="DM63" s="16" t="str">
        <f t="shared" ca="1" si="186"/>
        <v>1.1</v>
      </c>
      <c r="DN63" s="16" cm="1">
        <f t="array" aca="1" ref="DN63" ca="1">OFFSET(Horarios!$P$3,DJ63-1,0,DL63,1)</f>
        <v>1</v>
      </c>
      <c r="DO63" s="16"/>
      <c r="DP63" s="16">
        <v>6</v>
      </c>
      <c r="DQ63" s="16" t="str">
        <f t="shared" ca="1" si="198"/>
        <v>Iraq</v>
      </c>
    </row>
    <row r="64" spans="1:121" ht="15.95" customHeight="1">
      <c r="A64" s="16" t="str">
        <f ca="1">+Equipos!B33</f>
        <v>Uruguay</v>
      </c>
      <c r="B64" s="16"/>
      <c r="C64" s="16"/>
      <c r="D64" s="16" t="str">
        <f t="shared" si="199"/>
        <v>Pendiente</v>
      </c>
      <c r="E64" s="16" t="str">
        <f t="shared" si="200"/>
        <v>-</v>
      </c>
      <c r="F64" s="16" t="str">
        <f t="shared" si="201"/>
        <v>-</v>
      </c>
      <c r="G64" s="16"/>
      <c r="H64" s="16" t="str">
        <f t="shared" si="202"/>
        <v>-</v>
      </c>
      <c r="I64" s="16" t="str">
        <f t="shared" si="203"/>
        <v>-</v>
      </c>
      <c r="J64" s="16"/>
      <c r="K64" s="16" t="str">
        <f t="shared" si="204"/>
        <v>-</v>
      </c>
      <c r="L64" s="16" t="str">
        <f t="shared" si="205"/>
        <v>-</v>
      </c>
      <c r="M64" s="16"/>
      <c r="N64" s="16" t="str">
        <f t="shared" si="206"/>
        <v>-</v>
      </c>
      <c r="O64" s="16" t="str">
        <f t="shared" si="207"/>
        <v>-</v>
      </c>
      <c r="P64" s="16"/>
      <c r="Q64" s="16" t="str">
        <f t="shared" si="208"/>
        <v>-</v>
      </c>
      <c r="R64" s="16" t="str">
        <f t="shared" si="209"/>
        <v>-</v>
      </c>
      <c r="S64" s="16"/>
      <c r="T64" s="16" t="str">
        <f t="shared" si="210"/>
        <v>-</v>
      </c>
      <c r="U64" s="16" t="str">
        <f t="shared" si="211"/>
        <v>-</v>
      </c>
      <c r="V64" s="17"/>
      <c r="W64" s="665"/>
      <c r="X64" s="24">
        <f ca="1">Horarios!C64</f>
        <v>46200.083333333336</v>
      </c>
      <c r="Y64" s="25">
        <f ca="1">Horarios!C64</f>
        <v>46200.083333333336</v>
      </c>
      <c r="Z64" s="26" t="str">
        <f>$Z$8</f>
        <v>R3</v>
      </c>
      <c r="AA64" s="27" t="str">
        <f ca="1">A62</f>
        <v>Cape Verde</v>
      </c>
      <c r="AB64" s="49" t="e" cm="1" vm="30">
        <f t="array" aca="1" ref="AB64" ca="1">Ver_flag_local</f>
        <v>#VALUE!</v>
      </c>
      <c r="AC64" s="50"/>
      <c r="AD64" s="51"/>
      <c r="AE64" s="595" t="e" cm="1" vm="31">
        <f t="array" aca="1" ref="AE64" ca="1">Ver_flag_visit</f>
        <v>#VALUE!</v>
      </c>
      <c r="AF64" s="32" t="str">
        <f ca="1">A63</f>
        <v>Saudi Arabia</v>
      </c>
      <c r="AG64" s="323">
        <f t="shared" si="212"/>
        <v>0</v>
      </c>
      <c r="AH64" s="195">
        <v>65</v>
      </c>
      <c r="AI64" s="181" t="str">
        <f t="shared" si="216"/>
        <v>3H</v>
      </c>
      <c r="AJ64" s="42">
        <v>3</v>
      </c>
      <c r="AK64" s="602" t="e" cm="1" vm="31">
        <f t="array" aca="1" ref="AK64" ca="1">Ver_flag_visit</f>
        <v>#VALUE!</v>
      </c>
      <c r="AL64" s="37" t="str">
        <f ca="1">IFERROR(INDEX($BD$6:$BD$53,MATCH(AI64,$BN$6:$BN$53,0)),"")</f>
        <v>Saudi Arabia</v>
      </c>
      <c r="AM64" s="38">
        <f t="shared" ca="1" si="215"/>
        <v>0</v>
      </c>
      <c r="AN64" s="39">
        <f t="shared" ca="1" si="215"/>
        <v>0</v>
      </c>
      <c r="AO64" s="39">
        <f t="shared" ca="1" si="215"/>
        <v>0</v>
      </c>
      <c r="AP64" s="39">
        <f t="shared" ca="1" si="215"/>
        <v>0</v>
      </c>
      <c r="AQ64" s="39">
        <f t="shared" ca="1" si="215"/>
        <v>0</v>
      </c>
      <c r="AR64" s="39">
        <f t="shared" ca="1" si="215"/>
        <v>0</v>
      </c>
      <c r="AS64" s="39">
        <f t="shared" ca="1" si="215"/>
        <v>0</v>
      </c>
      <c r="AT64" s="43">
        <f t="shared" ca="1" si="215"/>
        <v>0</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0</v>
      </c>
      <c r="BF64" s="16">
        <f t="shared" ca="1" si="189"/>
        <v>0</v>
      </c>
      <c r="BG64" s="16">
        <f t="shared" ca="1" si="169"/>
        <v>0</v>
      </c>
      <c r="BH64" s="16">
        <f t="shared" ca="1" si="170"/>
        <v>0</v>
      </c>
      <c r="BI64" s="16">
        <f t="shared" ca="1" si="171"/>
        <v>0</v>
      </c>
      <c r="BJ64" s="16">
        <f t="shared" ca="1" si="172"/>
        <v>0</v>
      </c>
      <c r="BK64" s="16">
        <f t="shared" ca="1" si="173"/>
        <v>0</v>
      </c>
      <c r="BL64" s="16">
        <f t="shared" ca="1" si="190"/>
        <v>0</v>
      </c>
      <c r="BM64" s="16">
        <f t="shared" ca="1" si="191"/>
        <v>5</v>
      </c>
      <c r="BN64" s="16">
        <f t="shared" ca="1" si="192"/>
        <v>5</v>
      </c>
      <c r="BO64" s="16" t="str">
        <f t="shared" si="174"/>
        <v>4G</v>
      </c>
      <c r="BP64" s="16"/>
      <c r="BQ64" s="16"/>
      <c r="BR64" s="16">
        <f t="shared" ca="1" si="175"/>
        <v>0</v>
      </c>
      <c r="BS64" s="16">
        <f t="shared" ca="1" si="193"/>
        <v>1</v>
      </c>
      <c r="BT64" s="16" t="str">
        <f t="shared" ca="1" si="194"/>
        <v>Pos. 1 (12)</v>
      </c>
      <c r="BU64" s="16">
        <f t="shared" ca="1" si="176"/>
        <v>0</v>
      </c>
      <c r="BV64" s="16">
        <f t="shared" ca="1" si="177"/>
        <v>1</v>
      </c>
      <c r="BW64" s="16" t="str">
        <f t="shared" ca="1" si="178"/>
        <v>Pos. 1 (12)</v>
      </c>
      <c r="BX64" s="16">
        <f t="shared" ca="1" si="179"/>
        <v>0</v>
      </c>
      <c r="BY64" s="16">
        <f t="shared" ca="1" si="180"/>
        <v>1</v>
      </c>
      <c r="BZ64" s="16" t="str">
        <f t="shared" ca="1" si="181"/>
        <v>Pos. 1 (12)</v>
      </c>
      <c r="CA64" s="16">
        <f t="shared" ca="1" si="182"/>
        <v>7</v>
      </c>
      <c r="CB64" s="16">
        <f t="shared" ca="1" si="195"/>
        <v>5</v>
      </c>
      <c r="CC64" s="16"/>
      <c r="CD64" s="16">
        <f t="shared" ca="1" si="183"/>
        <v>5</v>
      </c>
      <c r="CE64" s="16">
        <f t="shared" ca="1" si="196"/>
        <v>4</v>
      </c>
      <c r="CF64" s="16">
        <f t="shared" ca="1" si="197"/>
        <v>5</v>
      </c>
      <c r="DJ64" s="16">
        <f t="shared" ca="1" si="184"/>
        <v>1</v>
      </c>
      <c r="DK64" s="16"/>
      <c r="DL64" s="16">
        <f t="shared" ca="1" si="185"/>
        <v>1</v>
      </c>
      <c r="DM64" s="16" t="str">
        <f t="shared" ca="1" si="186"/>
        <v>1.1</v>
      </c>
      <c r="DN64" s="16" cm="1">
        <f t="array" aca="1" ref="DN64" ca="1">OFFSET(Horarios!$P$3,DJ64-1,0,DL64,1)</f>
        <v>1</v>
      </c>
      <c r="DO64" s="16"/>
      <c r="DP64" s="16">
        <v>7</v>
      </c>
      <c r="DQ64" s="16" t="str">
        <f t="shared" ca="1" si="198"/>
        <v>Ivory Coast</v>
      </c>
    </row>
    <row r="65" spans="1:121" ht="15.95" customHeight="1" thickBot="1">
      <c r="A65" s="16"/>
      <c r="B65" s="16"/>
      <c r="C65" s="16"/>
      <c r="D65" s="16" t="str">
        <f t="shared" si="199"/>
        <v>Pendiente</v>
      </c>
      <c r="E65" s="16" t="str">
        <f t="shared" si="200"/>
        <v>-</v>
      </c>
      <c r="F65" s="16" t="str">
        <f t="shared" si="201"/>
        <v>-</v>
      </c>
      <c r="G65" s="16"/>
      <c r="H65" s="16" t="str">
        <f t="shared" si="202"/>
        <v>-</v>
      </c>
      <c r="I65" s="16" t="str">
        <f t="shared" si="203"/>
        <v>-</v>
      </c>
      <c r="J65" s="16"/>
      <c r="K65" s="16" t="str">
        <f t="shared" si="204"/>
        <v>-</v>
      </c>
      <c r="L65" s="16" t="str">
        <f t="shared" si="205"/>
        <v>-</v>
      </c>
      <c r="M65" s="16"/>
      <c r="N65" s="16" t="str">
        <f t="shared" si="206"/>
        <v>-</v>
      </c>
      <c r="O65" s="16" t="str">
        <f t="shared" si="207"/>
        <v>-</v>
      </c>
      <c r="P65" s="16"/>
      <c r="Q65" s="16" t="str">
        <f t="shared" si="208"/>
        <v>-</v>
      </c>
      <c r="R65" s="16" t="str">
        <f t="shared" si="209"/>
        <v>-</v>
      </c>
      <c r="S65" s="16"/>
      <c r="T65" s="16" t="str">
        <f t="shared" si="210"/>
        <v>-</v>
      </c>
      <c r="U65" s="16" t="str">
        <f t="shared" si="211"/>
        <v>-</v>
      </c>
      <c r="V65" s="17"/>
      <c r="W65" s="666"/>
      <c r="X65" s="28">
        <f ca="1">Horarios!C65</f>
        <v>46200.083333333336</v>
      </c>
      <c r="Y65" s="29">
        <f ca="1">Horarios!C65</f>
        <v>46200.083333333336</v>
      </c>
      <c r="Z65" s="30" t="str">
        <f>$Z$8</f>
        <v>R3</v>
      </c>
      <c r="AA65" s="31" t="str">
        <f ca="1">A64</f>
        <v>Uruguay</v>
      </c>
      <c r="AB65" s="52" t="e" cm="1" vm="32">
        <f t="array" aca="1" ref="AB65" ca="1">Ver_flag_local</f>
        <v>#VALUE!</v>
      </c>
      <c r="AC65" s="53"/>
      <c r="AD65" s="54"/>
      <c r="AE65" s="596" t="e" cm="1" vm="29">
        <f t="array" aca="1" ref="AE65" ca="1">Ver_flag_visit</f>
        <v>#VALUE!</v>
      </c>
      <c r="AF65" s="33" t="str">
        <f ca="1">A61</f>
        <v>Spain</v>
      </c>
      <c r="AG65" s="323">
        <f t="shared" si="212"/>
        <v>0</v>
      </c>
      <c r="AH65" s="195">
        <v>66</v>
      </c>
      <c r="AI65" s="181" t="str">
        <f t="shared" si="216"/>
        <v>4H</v>
      </c>
      <c r="AJ65" s="44">
        <v>4</v>
      </c>
      <c r="AK65" s="604" t="e" cm="1" vm="32">
        <f t="array" aca="1" ref="AK65" ca="1">Ver_flag_visit</f>
        <v>#VALUE!</v>
      </c>
      <c r="AL65" s="45" t="str">
        <f ca="1">IFERROR(INDEX($BD$6:$BD$53,MATCH(AI65,$BN$6:$BN$53,0)),"")</f>
        <v>Uruguay</v>
      </c>
      <c r="AM65" s="46">
        <f t="shared" ca="1" si="215"/>
        <v>0</v>
      </c>
      <c r="AN65" s="47">
        <f t="shared" ca="1" si="215"/>
        <v>0</v>
      </c>
      <c r="AO65" s="47">
        <f t="shared" ca="1" si="215"/>
        <v>0</v>
      </c>
      <c r="AP65" s="47">
        <f t="shared" ca="1" si="215"/>
        <v>0</v>
      </c>
      <c r="AQ65" s="47">
        <f t="shared" ca="1" si="215"/>
        <v>0</v>
      </c>
      <c r="AR65" s="47">
        <f t="shared" ca="1" si="215"/>
        <v>0</v>
      </c>
      <c r="AS65" s="47">
        <f t="shared" ca="1" si="215"/>
        <v>0</v>
      </c>
      <c r="AT65" s="48">
        <f t="shared" ca="1" si="215"/>
        <v>0</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Saudi Arabia</v>
      </c>
      <c r="BE65" s="16">
        <f t="shared" ca="1" si="188"/>
        <v>0</v>
      </c>
      <c r="BF65" s="16">
        <f t="shared" ca="1" si="189"/>
        <v>0</v>
      </c>
      <c r="BG65" s="16">
        <f t="shared" ca="1" si="169"/>
        <v>0</v>
      </c>
      <c r="BH65" s="16">
        <f t="shared" ca="1" si="170"/>
        <v>0</v>
      </c>
      <c r="BI65" s="16">
        <f t="shared" ca="1" si="171"/>
        <v>0</v>
      </c>
      <c r="BJ65" s="16">
        <f t="shared" ca="1" si="172"/>
        <v>0</v>
      </c>
      <c r="BK65" s="16">
        <f t="shared" ca="1" si="173"/>
        <v>0</v>
      </c>
      <c r="BL65" s="16">
        <f t="shared" ca="1" si="190"/>
        <v>0</v>
      </c>
      <c r="BM65" s="16">
        <f t="shared" ca="1" si="191"/>
        <v>9</v>
      </c>
      <c r="BN65" s="16">
        <f t="shared" ca="1" si="192"/>
        <v>9</v>
      </c>
      <c r="BO65" s="16" t="str">
        <f t="shared" si="174"/>
        <v>4H</v>
      </c>
      <c r="BP65" s="16"/>
      <c r="BQ65" s="16"/>
      <c r="BR65" s="16">
        <f t="shared" ca="1" si="175"/>
        <v>0</v>
      </c>
      <c r="BS65" s="16">
        <f t="shared" ca="1" si="193"/>
        <v>1</v>
      </c>
      <c r="BT65" s="16" t="str">
        <f t="shared" ca="1" si="194"/>
        <v>Pos. 1 (12)</v>
      </c>
      <c r="BU65" s="16">
        <f t="shared" ca="1" si="176"/>
        <v>0</v>
      </c>
      <c r="BV65" s="16">
        <f t="shared" ca="1" si="177"/>
        <v>1</v>
      </c>
      <c r="BW65" s="16" t="str">
        <f t="shared" ca="1" si="178"/>
        <v>Pos. 1 (12)</v>
      </c>
      <c r="BX65" s="16">
        <f t="shared" ca="1" si="179"/>
        <v>0</v>
      </c>
      <c r="BY65" s="16">
        <f t="shared" ca="1" si="180"/>
        <v>1</v>
      </c>
      <c r="BZ65" s="16" t="str">
        <f t="shared" ca="1" si="181"/>
        <v>Pos. 1 (12)</v>
      </c>
      <c r="CA65" s="16">
        <f t="shared" ca="1" si="182"/>
        <v>3</v>
      </c>
      <c r="CB65" s="16">
        <f t="shared" ca="1" si="195"/>
        <v>9</v>
      </c>
      <c r="CC65" s="16"/>
      <c r="CD65" s="16">
        <f t="shared" ca="1" si="183"/>
        <v>9</v>
      </c>
      <c r="CE65" s="16">
        <f t="shared" ca="1" si="196"/>
        <v>8</v>
      </c>
      <c r="CF65" s="16">
        <f t="shared" ca="1" si="197"/>
        <v>9</v>
      </c>
      <c r="DJ65" s="16">
        <f t="shared" ca="1" si="184"/>
        <v>1</v>
      </c>
      <c r="DK65" s="16"/>
      <c r="DL65" s="16">
        <f t="shared" ca="1" si="185"/>
        <v>1</v>
      </c>
      <c r="DM65" s="16" t="str">
        <f t="shared" ca="1" si="186"/>
        <v>1.1</v>
      </c>
      <c r="DN65" s="16" cm="1">
        <f t="array" aca="1" ref="DN65" ca="1">OFFSET(Horarios!$P$3,DJ65-1,0,DL65,1)</f>
        <v>1</v>
      </c>
      <c r="DO65" s="16"/>
      <c r="DP65" s="16">
        <v>8</v>
      </c>
      <c r="DQ65" s="16" t="str">
        <f t="shared" ca="1" si="198"/>
        <v>Qatar</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0</v>
      </c>
      <c r="BF66" s="16">
        <f t="shared" ca="1" si="189"/>
        <v>0</v>
      </c>
      <c r="BG66" s="16">
        <f t="shared" ca="1" si="169"/>
        <v>0</v>
      </c>
      <c r="BH66" s="16">
        <f t="shared" ca="1" si="170"/>
        <v>0</v>
      </c>
      <c r="BI66" s="16">
        <f t="shared" ca="1" si="171"/>
        <v>0</v>
      </c>
      <c r="BJ66" s="16">
        <f t="shared" ca="1" si="172"/>
        <v>0</v>
      </c>
      <c r="BK66" s="16">
        <f t="shared" ca="1" si="173"/>
        <v>0</v>
      </c>
      <c r="BL66" s="16">
        <f t="shared" ca="1" si="190"/>
        <v>0</v>
      </c>
      <c r="BM66" s="16">
        <f t="shared" ca="1" si="191"/>
        <v>6</v>
      </c>
      <c r="BN66" s="16">
        <f t="shared" ca="1" si="192"/>
        <v>6</v>
      </c>
      <c r="BO66" s="16" t="str">
        <f t="shared" si="174"/>
        <v>4I</v>
      </c>
      <c r="BP66" s="16"/>
      <c r="BQ66" s="16"/>
      <c r="BR66" s="16">
        <f t="shared" ca="1" si="175"/>
        <v>0</v>
      </c>
      <c r="BS66" s="16">
        <f t="shared" ca="1" si="193"/>
        <v>1</v>
      </c>
      <c r="BT66" s="16" t="str">
        <f t="shared" ca="1" si="194"/>
        <v>Pos. 1 (12)</v>
      </c>
      <c r="BU66" s="16">
        <f t="shared" ca="1" si="176"/>
        <v>0</v>
      </c>
      <c r="BV66" s="16">
        <f t="shared" ca="1" si="177"/>
        <v>1</v>
      </c>
      <c r="BW66" s="16" t="str">
        <f t="shared" ca="1" si="178"/>
        <v>Pos. 1 (12)</v>
      </c>
      <c r="BX66" s="16">
        <f t="shared" ca="1" si="179"/>
        <v>0</v>
      </c>
      <c r="BY66" s="16">
        <f t="shared" ca="1" si="180"/>
        <v>1</v>
      </c>
      <c r="BZ66" s="16" t="str">
        <f t="shared" ca="1" si="181"/>
        <v>Pos. 1 (12)</v>
      </c>
      <c r="CA66" s="16">
        <f t="shared" ca="1" si="182"/>
        <v>6</v>
      </c>
      <c r="CB66" s="16">
        <f t="shared" ca="1" si="195"/>
        <v>6</v>
      </c>
      <c r="CC66" s="16"/>
      <c r="CD66" s="16">
        <f t="shared" ca="1" si="183"/>
        <v>6</v>
      </c>
      <c r="CE66" s="16">
        <f t="shared" ca="1" si="196"/>
        <v>5</v>
      </c>
      <c r="CF66" s="16">
        <f t="shared" ca="1" si="197"/>
        <v>6</v>
      </c>
      <c r="DJ66" s="16">
        <f t="shared" ca="1" si="184"/>
        <v>1</v>
      </c>
      <c r="DK66" s="16"/>
      <c r="DL66" s="16">
        <f t="shared" ca="1" si="185"/>
        <v>1</v>
      </c>
      <c r="DM66" s="16" t="str">
        <f t="shared" ca="1" si="186"/>
        <v>1.1</v>
      </c>
      <c r="DN66" s="16" cm="1">
        <f t="array" aca="1" ref="DN66" ca="1">OFFSET(Horarios!$P$3,DJ66-1,0,DL66,1)</f>
        <v>1</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0</v>
      </c>
      <c r="BF67" s="16">
        <f t="shared" ca="1" si="189"/>
        <v>0</v>
      </c>
      <c r="BG67" s="16">
        <f t="shared" ca="1" si="169"/>
        <v>0</v>
      </c>
      <c r="BH67" s="16">
        <f t="shared" ca="1" si="170"/>
        <v>0</v>
      </c>
      <c r="BI67" s="16">
        <f t="shared" ca="1" si="171"/>
        <v>0</v>
      </c>
      <c r="BJ67" s="16">
        <f t="shared" ca="1" si="172"/>
        <v>0</v>
      </c>
      <c r="BK67" s="16">
        <f t="shared" ca="1" si="173"/>
        <v>0</v>
      </c>
      <c r="BL67" s="16">
        <f t="shared" ca="1" si="190"/>
        <v>0</v>
      </c>
      <c r="BM67" s="16">
        <f t="shared" ca="1" si="191"/>
        <v>2</v>
      </c>
      <c r="BN67" s="16">
        <f t="shared" ca="1" si="192"/>
        <v>2</v>
      </c>
      <c r="BO67" s="16" t="str">
        <f t="shared" si="174"/>
        <v>4J</v>
      </c>
      <c r="BP67" s="16"/>
      <c r="BQ67" s="16"/>
      <c r="BR67" s="16">
        <f t="shared" ca="1" si="175"/>
        <v>0</v>
      </c>
      <c r="BS67" s="16">
        <f t="shared" ca="1" si="193"/>
        <v>1</v>
      </c>
      <c r="BT67" s="16" t="str">
        <f t="shared" ca="1" si="194"/>
        <v>Pos. 1 (12)</v>
      </c>
      <c r="BU67" s="16">
        <f t="shared" ca="1" si="176"/>
        <v>0</v>
      </c>
      <c r="BV67" s="16">
        <f t="shared" ca="1" si="177"/>
        <v>1</v>
      </c>
      <c r="BW67" s="16" t="str">
        <f t="shared" ca="1" si="178"/>
        <v>Pos. 1 (12)</v>
      </c>
      <c r="BX67" s="16">
        <f t="shared" ca="1" si="179"/>
        <v>0</v>
      </c>
      <c r="BY67" s="16">
        <f t="shared" ca="1" si="180"/>
        <v>1</v>
      </c>
      <c r="BZ67" s="16" t="str">
        <f t="shared" ca="1" si="181"/>
        <v>Pos. 1 (12)</v>
      </c>
      <c r="CA67" s="16">
        <f t="shared" ca="1" si="182"/>
        <v>10</v>
      </c>
      <c r="CB67" s="16">
        <f t="shared" ca="1" si="195"/>
        <v>2</v>
      </c>
      <c r="CC67" s="16"/>
      <c r="CD67" s="16">
        <f t="shared" ca="1" si="183"/>
        <v>2</v>
      </c>
      <c r="CE67" s="16">
        <f t="shared" ca="1" si="196"/>
        <v>1</v>
      </c>
      <c r="CF67" s="16">
        <f t="shared" ca="1" si="197"/>
        <v>2</v>
      </c>
      <c r="DJ67" s="16">
        <f t="shared" ca="1" si="184"/>
        <v>1</v>
      </c>
      <c r="DK67" s="16"/>
      <c r="DL67" s="16">
        <f t="shared" ca="1" si="185"/>
        <v>1</v>
      </c>
      <c r="DM67" s="16" t="str">
        <f t="shared" ca="1" si="186"/>
        <v>1.1</v>
      </c>
      <c r="DN67" s="16" cm="1">
        <f t="array" aca="1" ref="DN67" ca="1">OFFSET(Horarios!$P$3,DJ67-1,0,DL67,1)</f>
        <v>1</v>
      </c>
      <c r="DO67" s="16"/>
      <c r="DP67" s="16">
        <v>10</v>
      </c>
      <c r="DQ67" s="16" t="str">
        <f t="shared" ca="1" si="198"/>
        <v>South Korea</v>
      </c>
    </row>
    <row r="68" spans="1:121" ht="15.95" customHeight="1" thickBot="1">
      <c r="A68" s="16" t="s">
        <v>32</v>
      </c>
      <c r="B68" s="16" t="s">
        <v>448</v>
      </c>
      <c r="C68" s="16">
        <f>COUNTIF(Equipos!$C$2:$C$49,WORLDCUP!B68)</f>
        <v>4</v>
      </c>
      <c r="D68" s="16" t="str">
        <f t="shared" ref="D68:D73" si="217">IF(OR(AC68="",AD68=""),"Pendiente",IF(AC68&gt;AD68,"Local",IF(AC68&lt;AD68,"Visitante","Empate")))</f>
        <v>Pendiente</v>
      </c>
      <c r="E68" s="16" t="str">
        <f t="shared" ref="E68:E73" si="218">IF(D68="Pendiente","-",INDEX($BT$6:$BT$53,MATCH($AA68,$BD$6:$BD$53,0)))</f>
        <v>-</v>
      </c>
      <c r="F68" s="16" t="str">
        <f t="shared" ref="F68:F73" si="219">IF(D68="Pendiente","-",INDEX($BT$6:$BT$53,MATCH($AF68,$BD$6:$BD$53,0)))</f>
        <v>-</v>
      </c>
      <c r="G68" s="16"/>
      <c r="H68" s="16" t="str">
        <f t="shared" ref="H68:H73" si="220">IF(D68="Pendiente","-",INDEX($BZ$6:$BZ$53,MATCH($AA68,$BD$6:$BD$53,0)))</f>
        <v>-</v>
      </c>
      <c r="I68" s="16" t="str">
        <f t="shared" ref="I68:I73" si="221">IF(D68="Pendiente","-",INDEX($BZ$6:$BZ$53,MATCH($AF68,$BD$6:$BD$53,0)))</f>
        <v>-</v>
      </c>
      <c r="J68" s="16"/>
      <c r="K68" s="16" t="str">
        <f t="shared" ref="K68:K73" si="222">IF(D68="Pendiente","-",INDEX($CE$6:$CE$53,MATCH($AA68,$BD$6:$BD$53,0)))</f>
        <v>-</v>
      </c>
      <c r="L68" s="16" t="str">
        <f t="shared" ref="L68:L73" si="223">IF(D68="Pendiente","-",INDEX($CE$6:$CE$53,MATCH($AF68,$BD$6:$BD$53,0)))</f>
        <v>-</v>
      </c>
      <c r="M68" s="16"/>
      <c r="N68" s="16" t="str">
        <f t="shared" ref="N68:N73" si="224">IF(D68="Pendiente","-",INDEX($CH$6:$CH$53,MATCH($AA68,$BD$6:$BD$53,0)))</f>
        <v>-</v>
      </c>
      <c r="O68" s="16" t="str">
        <f t="shared" ref="O68:O73" si="225">IF(D68="Pendiente","-",INDEX($CH$6:$CH$53,MATCH($AF68,$BD$6:$BD$53,0)))</f>
        <v>-</v>
      </c>
      <c r="P68" s="16"/>
      <c r="Q68" s="16" t="str">
        <f t="shared" ref="Q68:Q73" si="226">IF(D68="Pendiente","-",INDEX($CN$6:$CN$53,MATCH($AA68,$BD$6:$BD$53,0)))</f>
        <v>-</v>
      </c>
      <c r="R68" s="16" t="str">
        <f t="shared" ref="R68:R73" si="227">IF(D68="Pendiente","-",INDEX($CN$6:$CN$53,MATCH($AF68,$BD$6:$BD$53,0)))</f>
        <v>-</v>
      </c>
      <c r="S68" s="16"/>
      <c r="T68" s="16" t="str">
        <f t="shared" ref="T68:T73" si="228">IF(D68="Pendiente","-",INDEX($CS$6:$CS$53,MATCH($AA68,$BD$6:$BD$53,0)))</f>
        <v>-</v>
      </c>
      <c r="U68" s="16" t="str">
        <f t="shared" ref="U68:U73" si="229">IF(D68="Pendiente","-",INDEX($CS$6:$CS$53,MATCH($AF68,$BD$6:$BD$53,0)))</f>
        <v>-</v>
      </c>
      <c r="V68" s="17"/>
      <c r="W68" s="671" t="s">
        <v>448</v>
      </c>
      <c r="X68" s="24">
        <f ca="1">Horarios!C68</f>
        <v>46189.875</v>
      </c>
      <c r="Y68" s="25">
        <f ca="1">Horarios!C68</f>
        <v>46189.875</v>
      </c>
      <c r="Z68" s="26" t="str">
        <f>$Z$4</f>
        <v>R1</v>
      </c>
      <c r="AA68" s="27" t="str">
        <f ca="1">A69</f>
        <v>France</v>
      </c>
      <c r="AB68" s="49" t="e" cm="1" vm="33">
        <f t="array" aca="1" ref="AB68" ca="1">Ver_flag_local</f>
        <v>#VALUE!</v>
      </c>
      <c r="AC68" s="50"/>
      <c r="AD68" s="51"/>
      <c r="AE68" s="595" t="e" cm="1" vm="34">
        <f t="array" aca="1" ref="AE68" ca="1">Ver_flag_visit</f>
        <v>#VALUE!</v>
      </c>
      <c r="AF68" s="32" t="str">
        <f ca="1">A70</f>
        <v>Senegal</v>
      </c>
      <c r="AG68" s="323">
        <f t="shared" ref="AG68:AG73" si="230">IF(NOT(OR(ISBLANK(AC68),ISBLANK(AD68))),1,0)</f>
        <v>0</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0</v>
      </c>
      <c r="BF68" s="16">
        <f t="shared" ca="1" si="189"/>
        <v>0</v>
      </c>
      <c r="BG68" s="16">
        <f t="shared" ca="1" si="169"/>
        <v>0</v>
      </c>
      <c r="BH68" s="16">
        <f t="shared" ca="1" si="170"/>
        <v>0</v>
      </c>
      <c r="BI68" s="16">
        <f t="shared" ca="1" si="171"/>
        <v>0</v>
      </c>
      <c r="BJ68" s="16">
        <f t="shared" ca="1" si="172"/>
        <v>0</v>
      </c>
      <c r="BK68" s="16">
        <f t="shared" ca="1" si="173"/>
        <v>0</v>
      </c>
      <c r="BL68" s="16">
        <f t="shared" ca="1" si="190"/>
        <v>0</v>
      </c>
      <c r="BM68" s="16">
        <f t="shared" ca="1" si="191"/>
        <v>12</v>
      </c>
      <c r="BN68" s="16">
        <f t="shared" ca="1" si="192"/>
        <v>12</v>
      </c>
      <c r="BO68" s="16" t="str">
        <f t="shared" si="174"/>
        <v>4K</v>
      </c>
      <c r="BP68" s="16"/>
      <c r="BQ68" s="16"/>
      <c r="BR68" s="16">
        <f t="shared" ca="1" si="175"/>
        <v>0</v>
      </c>
      <c r="BS68" s="16">
        <f t="shared" ca="1" si="193"/>
        <v>1</v>
      </c>
      <c r="BT68" s="16" t="str">
        <f t="shared" ca="1" si="194"/>
        <v>Pos. 1 (12)</v>
      </c>
      <c r="BU68" s="16">
        <f t="shared" ca="1" si="176"/>
        <v>0</v>
      </c>
      <c r="BV68" s="16">
        <f t="shared" ca="1" si="177"/>
        <v>1</v>
      </c>
      <c r="BW68" s="16" t="str">
        <f t="shared" ca="1" si="178"/>
        <v>Pos. 1 (12)</v>
      </c>
      <c r="BX68" s="16">
        <f t="shared" ca="1" si="179"/>
        <v>0</v>
      </c>
      <c r="BY68" s="16">
        <f t="shared" ca="1" si="180"/>
        <v>1</v>
      </c>
      <c r="BZ68" s="16" t="str">
        <f t="shared" ca="1" si="181"/>
        <v>Pos. 1 (12)</v>
      </c>
      <c r="CA68" s="16">
        <f t="shared" ca="1" si="182"/>
        <v>0</v>
      </c>
      <c r="CB68" s="16">
        <f t="shared" ca="1" si="195"/>
        <v>12</v>
      </c>
      <c r="CC68" s="16"/>
      <c r="CD68" s="16">
        <f t="shared" ca="1" si="183"/>
        <v>12</v>
      </c>
      <c r="CE68" s="16">
        <f t="shared" ca="1" si="196"/>
        <v>11</v>
      </c>
      <c r="CF68" s="16">
        <f t="shared" ca="1" si="197"/>
        <v>12</v>
      </c>
      <c r="DJ68" s="16">
        <f t="shared" ca="1" si="184"/>
        <v>1</v>
      </c>
      <c r="DK68" s="16"/>
      <c r="DL68" s="16">
        <f t="shared" ca="1" si="185"/>
        <v>1</v>
      </c>
      <c r="DM68" s="16" t="str">
        <f t="shared" ca="1" si="186"/>
        <v>1.1</v>
      </c>
      <c r="DN68" s="16" cm="1">
        <f t="array" aca="1" ref="DN68" ca="1">OFFSET(Horarios!$P$3,DJ68-1,0,DL68,1)</f>
        <v>1</v>
      </c>
      <c r="DO68" s="16"/>
      <c r="DP68" s="16">
        <v>11</v>
      </c>
      <c r="DQ68" s="16" t="str">
        <f t="shared" ca="1" si="198"/>
        <v>Sweden</v>
      </c>
    </row>
    <row r="69" spans="1:121" ht="15.95" customHeight="1">
      <c r="A69" s="16" t="str">
        <f ca="1">+Equipos!B34</f>
        <v>France</v>
      </c>
      <c r="B69" s="16"/>
      <c r="C69" s="16"/>
      <c r="D69" s="16" t="str">
        <f t="shared" si="217"/>
        <v>Pendiente</v>
      </c>
      <c r="E69" s="16" t="str">
        <f t="shared" si="218"/>
        <v>-</v>
      </c>
      <c r="F69" s="16" t="str">
        <f t="shared" si="219"/>
        <v>-</v>
      </c>
      <c r="G69" s="16"/>
      <c r="H69" s="16" t="str">
        <f t="shared" si="220"/>
        <v>-</v>
      </c>
      <c r="I69" s="16" t="str">
        <f t="shared" si="221"/>
        <v>-</v>
      </c>
      <c r="J69" s="16"/>
      <c r="K69" s="16" t="str">
        <f t="shared" si="222"/>
        <v>-</v>
      </c>
      <c r="L69" s="16" t="str">
        <f t="shared" si="223"/>
        <v>-</v>
      </c>
      <c r="M69" s="16"/>
      <c r="N69" s="16" t="str">
        <f t="shared" si="224"/>
        <v>-</v>
      </c>
      <c r="O69" s="16" t="str">
        <f t="shared" si="225"/>
        <v>-</v>
      </c>
      <c r="P69" s="16"/>
      <c r="Q69" s="16" t="str">
        <f t="shared" si="226"/>
        <v>-</v>
      </c>
      <c r="R69" s="16" t="str">
        <f t="shared" si="227"/>
        <v>-</v>
      </c>
      <c r="S69" s="16"/>
      <c r="T69" s="16" t="str">
        <f t="shared" si="228"/>
        <v>-</v>
      </c>
      <c r="U69" s="16" t="str">
        <f t="shared" si="229"/>
        <v>-</v>
      </c>
      <c r="V69" s="17"/>
      <c r="W69" s="671"/>
      <c r="X69" s="24">
        <f ca="1">Horarios!C69</f>
        <v>46190</v>
      </c>
      <c r="Y69" s="25">
        <f ca="1">Horarios!C69</f>
        <v>46190</v>
      </c>
      <c r="Z69" s="26" t="str">
        <f>$Z$4</f>
        <v>R1</v>
      </c>
      <c r="AA69" s="27" t="str">
        <f ca="1">A71</f>
        <v>Iraq</v>
      </c>
      <c r="AB69" s="49" t="e" cm="1" vm="35">
        <f t="array" aca="1" ref="AB69" ca="1">Ver_flag_local</f>
        <v>#VALUE!</v>
      </c>
      <c r="AC69" s="50"/>
      <c r="AD69" s="51"/>
      <c r="AE69" s="595" t="e" cm="1" vm="36">
        <f t="array" aca="1" ref="AE69" ca="1">Ver_flag_visit</f>
        <v>#VALUE!</v>
      </c>
      <c r="AF69" s="32" t="str">
        <f ca="1">A72</f>
        <v>Norway</v>
      </c>
      <c r="AG69" s="323">
        <f t="shared" si="230"/>
        <v>0</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0</v>
      </c>
      <c r="BF69" s="16">
        <f t="shared" ca="1" si="189"/>
        <v>0</v>
      </c>
      <c r="BG69" s="16">
        <f t="shared" ca="1" si="169"/>
        <v>0</v>
      </c>
      <c r="BH69" s="16">
        <f t="shared" ca="1" si="170"/>
        <v>0</v>
      </c>
      <c r="BI69" s="16">
        <f t="shared" ca="1" si="171"/>
        <v>0</v>
      </c>
      <c r="BJ69" s="16">
        <f t="shared" ca="1" si="172"/>
        <v>0</v>
      </c>
      <c r="BK69" s="16">
        <f t="shared" ca="1" si="173"/>
        <v>0</v>
      </c>
      <c r="BL69" s="16">
        <f t="shared" ca="1" si="190"/>
        <v>0</v>
      </c>
      <c r="BM69" s="16">
        <f t="shared" ca="1" si="191"/>
        <v>3</v>
      </c>
      <c r="BN69" s="16">
        <f t="shared" ca="1" si="192"/>
        <v>3</v>
      </c>
      <c r="BO69" s="16" t="str">
        <f t="shared" si="174"/>
        <v>4L</v>
      </c>
      <c r="BP69" s="16"/>
      <c r="BQ69" s="16"/>
      <c r="BR69" s="16">
        <f t="shared" ca="1" si="175"/>
        <v>0</v>
      </c>
      <c r="BS69" s="16">
        <f t="shared" ca="1" si="193"/>
        <v>1</v>
      </c>
      <c r="BT69" s="16" t="str">
        <f t="shared" ca="1" si="194"/>
        <v>Pos. 1 (12)</v>
      </c>
      <c r="BU69" s="16">
        <f t="shared" ca="1" si="176"/>
        <v>0</v>
      </c>
      <c r="BV69" s="16">
        <f t="shared" ca="1" si="177"/>
        <v>1</v>
      </c>
      <c r="BW69" s="16" t="str">
        <f t="shared" ca="1" si="178"/>
        <v>Pos. 1 (12)</v>
      </c>
      <c r="BX69" s="16">
        <f t="shared" ca="1" si="179"/>
        <v>0</v>
      </c>
      <c r="BY69" s="16">
        <f t="shared" ca="1" si="180"/>
        <v>1</v>
      </c>
      <c r="BZ69" s="16" t="str">
        <f t="shared" ca="1" si="181"/>
        <v>Pos. 1 (12)</v>
      </c>
      <c r="CA69" s="16">
        <f t="shared" ca="1" si="182"/>
        <v>9</v>
      </c>
      <c r="CB69" s="16">
        <f ca="1">BY69+COUNTIFS(BZ$58:BZ$69,BZ69,CA$58:CA$69,"&gt;"&amp;CA69)</f>
        <v>3</v>
      </c>
      <c r="CC69" s="16"/>
      <c r="CD69" s="16">
        <f t="shared" ca="1" si="183"/>
        <v>3</v>
      </c>
      <c r="CE69" s="16">
        <f t="shared" ca="1" si="196"/>
        <v>2</v>
      </c>
      <c r="CF69" s="16">
        <f t="shared" ca="1" si="197"/>
        <v>3</v>
      </c>
      <c r="DJ69" s="16">
        <f t="shared" ca="1" si="184"/>
        <v>1</v>
      </c>
      <c r="DK69" s="16"/>
      <c r="DL69" s="16">
        <f t="shared" ca="1" si="185"/>
        <v>1</v>
      </c>
      <c r="DM69" s="16" t="str">
        <f t="shared" ca="1" si="186"/>
        <v>1.1</v>
      </c>
      <c r="DN69" s="16" cm="1">
        <f t="array" aca="1" ref="DN69" ca="1">OFFSET(Horarios!$P$3,DJ69-1,0,DL69,1)</f>
        <v>1</v>
      </c>
      <c r="DO69" s="16"/>
      <c r="DP69" s="16">
        <v>12</v>
      </c>
      <c r="DQ69" s="16" t="str">
        <f t="shared" ca="1" si="198"/>
        <v>Uzbekistan</v>
      </c>
    </row>
    <row r="70" spans="1:121" ht="15.95" customHeight="1">
      <c r="A70" s="16" t="str">
        <f ca="1">+Equipos!B35</f>
        <v>Senegal</v>
      </c>
      <c r="B70" s="16"/>
      <c r="C70" s="16"/>
      <c r="D70" s="16" t="str">
        <f t="shared" si="217"/>
        <v>Pendiente</v>
      </c>
      <c r="E70" s="16" t="str">
        <f t="shared" si="218"/>
        <v>-</v>
      </c>
      <c r="F70" s="16" t="str">
        <f t="shared" si="219"/>
        <v>-</v>
      </c>
      <c r="G70" s="16"/>
      <c r="H70" s="16" t="str">
        <f t="shared" si="220"/>
        <v>-</v>
      </c>
      <c r="I70" s="16" t="str">
        <f t="shared" si="221"/>
        <v>-</v>
      </c>
      <c r="J70" s="16"/>
      <c r="K70" s="16" t="str">
        <f t="shared" si="222"/>
        <v>-</v>
      </c>
      <c r="L70" s="16" t="str">
        <f t="shared" si="223"/>
        <v>-</v>
      </c>
      <c r="M70" s="16"/>
      <c r="N70" s="16" t="str">
        <f t="shared" si="224"/>
        <v>-</v>
      </c>
      <c r="O70" s="16" t="str">
        <f t="shared" si="225"/>
        <v>-</v>
      </c>
      <c r="P70" s="16"/>
      <c r="Q70" s="16" t="str">
        <f t="shared" si="226"/>
        <v>-</v>
      </c>
      <c r="R70" s="16" t="str">
        <f t="shared" si="227"/>
        <v>-</v>
      </c>
      <c r="S70" s="16"/>
      <c r="T70" s="16" t="str">
        <f t="shared" si="228"/>
        <v>-</v>
      </c>
      <c r="U70" s="16" t="str">
        <f t="shared" si="229"/>
        <v>-</v>
      </c>
      <c r="V70" s="17"/>
      <c r="W70" s="671"/>
      <c r="X70" s="24">
        <f ca="1">Horarios!C70</f>
        <v>46195.958333333336</v>
      </c>
      <c r="Y70" s="25">
        <f ca="1">Horarios!C70</f>
        <v>46195.958333333336</v>
      </c>
      <c r="Z70" s="26" t="str">
        <f>$Z$6</f>
        <v>R2</v>
      </c>
      <c r="AA70" s="27" t="str">
        <f ca="1">A69</f>
        <v>France</v>
      </c>
      <c r="AB70" s="49" t="e" cm="1" vm="33">
        <f t="array" aca="1" ref="AB70" ca="1">Ver_flag_local</f>
        <v>#VALUE!</v>
      </c>
      <c r="AC70" s="50"/>
      <c r="AD70" s="51"/>
      <c r="AE70" s="595" t="e" cm="1" vm="35">
        <f t="array" aca="1" ref="AE70" ca="1">Ver_flag_visit</f>
        <v>#VALUE!</v>
      </c>
      <c r="AF70" s="32" t="str">
        <f ca="1">A71</f>
        <v>Iraq</v>
      </c>
      <c r="AG70" s="323">
        <f t="shared" si="230"/>
        <v>0</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0</v>
      </c>
      <c r="AN70" s="36">
        <f t="shared" ca="1" si="233"/>
        <v>0</v>
      </c>
      <c r="AO70" s="36">
        <f t="shared" ca="1" si="233"/>
        <v>0</v>
      </c>
      <c r="AP70" s="36">
        <f t="shared" ca="1" si="233"/>
        <v>0</v>
      </c>
      <c r="AQ70" s="36">
        <f t="shared" ca="1" si="233"/>
        <v>0</v>
      </c>
      <c r="AR70" s="36">
        <f t="shared" ca="1" si="233"/>
        <v>0</v>
      </c>
      <c r="AS70" s="36">
        <f t="shared" ca="1" si="233"/>
        <v>0</v>
      </c>
      <c r="AT70" s="41">
        <f t="shared" ca="1" si="233"/>
        <v>0</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Pendiente</v>
      </c>
      <c r="E71" s="16" t="str">
        <f t="shared" si="218"/>
        <v>-</v>
      </c>
      <c r="F71" s="16" t="str">
        <f t="shared" si="219"/>
        <v>-</v>
      </c>
      <c r="G71" s="16"/>
      <c r="H71" s="16" t="str">
        <f t="shared" si="220"/>
        <v>-</v>
      </c>
      <c r="I71" s="16" t="str">
        <f t="shared" si="221"/>
        <v>-</v>
      </c>
      <c r="J71" s="16"/>
      <c r="K71" s="16" t="str">
        <f t="shared" si="222"/>
        <v>-</v>
      </c>
      <c r="L71" s="16" t="str">
        <f t="shared" si="223"/>
        <v>-</v>
      </c>
      <c r="M71" s="16"/>
      <c r="N71" s="16" t="str">
        <f t="shared" si="224"/>
        <v>-</v>
      </c>
      <c r="O71" s="16" t="str">
        <f t="shared" si="225"/>
        <v>-</v>
      </c>
      <c r="P71" s="16"/>
      <c r="Q71" s="16" t="str">
        <f t="shared" si="226"/>
        <v>-</v>
      </c>
      <c r="R71" s="16" t="str">
        <f t="shared" si="227"/>
        <v>-</v>
      </c>
      <c r="S71" s="16"/>
      <c r="T71" s="16" t="str">
        <f t="shared" si="228"/>
        <v>-</v>
      </c>
      <c r="U71" s="16" t="str">
        <f t="shared" si="229"/>
        <v>-</v>
      </c>
      <c r="V71" s="17"/>
      <c r="W71" s="671"/>
      <c r="X71" s="24">
        <f ca="1">Horarios!C71</f>
        <v>46196.083333333336</v>
      </c>
      <c r="Y71" s="25">
        <f ca="1">Horarios!C71</f>
        <v>46196.083333333336</v>
      </c>
      <c r="Z71" s="26" t="str">
        <f>$Z$6</f>
        <v>R2</v>
      </c>
      <c r="AA71" s="27" t="str">
        <f ca="1">A72</f>
        <v>Norway</v>
      </c>
      <c r="AB71" s="49" t="e" cm="1" vm="36">
        <f t="array" aca="1" ref="AB71" ca="1">Ver_flag_local</f>
        <v>#VALUE!</v>
      </c>
      <c r="AC71" s="50"/>
      <c r="AD71" s="51"/>
      <c r="AE71" s="595" t="e" cm="1" vm="34">
        <f t="array" aca="1" ref="AE71" ca="1">Ver_flag_visit</f>
        <v>#VALUE!</v>
      </c>
      <c r="AF71" s="32" t="str">
        <f ca="1">A70</f>
        <v>Senegal</v>
      </c>
      <c r="AG71" s="323">
        <f t="shared" si="230"/>
        <v>0</v>
      </c>
      <c r="AH71" s="195">
        <v>41</v>
      </c>
      <c r="AI71" s="181" t="str">
        <f t="shared" ref="AI71:AI73" si="234">AJ71&amp;$B$68</f>
        <v>2I</v>
      </c>
      <c r="AJ71" s="42">
        <v>2</v>
      </c>
      <c r="AK71" s="602" t="e" cm="1" vm="34">
        <f t="array" aca="1" ref="AK71" ca="1">Ver_flag_visit</f>
        <v>#VALUE!</v>
      </c>
      <c r="AL71" s="37" t="str">
        <f ca="1">IFERROR(INDEX($BD$6:$BD$53,MATCH(AI71,$BN$6:$BN$53,0)),"")</f>
        <v>Senegal</v>
      </c>
      <c r="AM71" s="38">
        <f t="shared" ca="1" si="233"/>
        <v>0</v>
      </c>
      <c r="AN71" s="39">
        <f t="shared" ca="1" si="233"/>
        <v>0</v>
      </c>
      <c r="AO71" s="39">
        <f t="shared" ca="1" si="233"/>
        <v>0</v>
      </c>
      <c r="AP71" s="39">
        <f t="shared" ca="1" si="233"/>
        <v>0</v>
      </c>
      <c r="AQ71" s="39">
        <f t="shared" ca="1" si="233"/>
        <v>0</v>
      </c>
      <c r="AR71" s="39">
        <f t="shared" ca="1" si="233"/>
        <v>0</v>
      </c>
      <c r="AS71" s="39">
        <f t="shared" ca="1" si="233"/>
        <v>0</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Pendiente</v>
      </c>
      <c r="E72" s="16" t="str">
        <f t="shared" si="218"/>
        <v>-</v>
      </c>
      <c r="F72" s="16" t="str">
        <f t="shared" si="219"/>
        <v>-</v>
      </c>
      <c r="G72" s="16"/>
      <c r="H72" s="16" t="str">
        <f t="shared" si="220"/>
        <v>-</v>
      </c>
      <c r="I72" s="16" t="str">
        <f t="shared" si="221"/>
        <v>-</v>
      </c>
      <c r="J72" s="16"/>
      <c r="K72" s="16" t="str">
        <f t="shared" si="222"/>
        <v>-</v>
      </c>
      <c r="L72" s="16" t="str">
        <f t="shared" si="223"/>
        <v>-</v>
      </c>
      <c r="M72" s="16"/>
      <c r="N72" s="16" t="str">
        <f t="shared" si="224"/>
        <v>-</v>
      </c>
      <c r="O72" s="16" t="str">
        <f t="shared" si="225"/>
        <v>-</v>
      </c>
      <c r="P72" s="16"/>
      <c r="Q72" s="16" t="str">
        <f t="shared" si="226"/>
        <v>-</v>
      </c>
      <c r="R72" s="16" t="str">
        <f t="shared" si="227"/>
        <v>-</v>
      </c>
      <c r="S72" s="16"/>
      <c r="T72" s="16" t="str">
        <f t="shared" si="228"/>
        <v>-</v>
      </c>
      <c r="U72" s="16" t="str">
        <f t="shared" si="229"/>
        <v>-</v>
      </c>
      <c r="V72" s="17"/>
      <c r="W72" s="671"/>
      <c r="X72" s="24">
        <f ca="1">Horarios!C72</f>
        <v>46199.875</v>
      </c>
      <c r="Y72" s="25">
        <f ca="1">Horarios!C72</f>
        <v>46199.875</v>
      </c>
      <c r="Z72" s="26" t="str">
        <f>$Z$8</f>
        <v>R3</v>
      </c>
      <c r="AA72" s="27" t="str">
        <f ca="1">A72</f>
        <v>Norway</v>
      </c>
      <c r="AB72" s="49" t="e" cm="1" vm="36">
        <f t="array" aca="1" ref="AB72" ca="1">Ver_flag_local</f>
        <v>#VALUE!</v>
      </c>
      <c r="AC72" s="50"/>
      <c r="AD72" s="51"/>
      <c r="AE72" s="595" t="e" cm="1" vm="33">
        <f t="array" aca="1" ref="AE72" ca="1">Ver_flag_visit</f>
        <v>#VALUE!</v>
      </c>
      <c r="AF72" s="32" t="str">
        <f ca="1">A69</f>
        <v>France</v>
      </c>
      <c r="AG72" s="323">
        <f t="shared" si="230"/>
        <v>0</v>
      </c>
      <c r="AH72" s="195">
        <v>61</v>
      </c>
      <c r="AI72" s="181" t="str">
        <f t="shared" si="234"/>
        <v>3I</v>
      </c>
      <c r="AJ72" s="42">
        <v>3</v>
      </c>
      <c r="AK72" s="602" t="e" cm="1" vm="35">
        <f t="array" aca="1" ref="AK72" ca="1">Ver_flag_visit</f>
        <v>#VALUE!</v>
      </c>
      <c r="AL72" s="37" t="str">
        <f ca="1">IFERROR(INDEX($BD$6:$BD$53,MATCH(AI72,$BN$6:$BN$53,0)),"")</f>
        <v>Iraq</v>
      </c>
      <c r="AM72" s="38">
        <f t="shared" ca="1" si="233"/>
        <v>0</v>
      </c>
      <c r="AN72" s="39">
        <f t="shared" ca="1" si="233"/>
        <v>0</v>
      </c>
      <c r="AO72" s="39">
        <f t="shared" ca="1" si="233"/>
        <v>0</v>
      </c>
      <c r="AP72" s="39">
        <f t="shared" ca="1" si="233"/>
        <v>0</v>
      </c>
      <c r="AQ72" s="39">
        <f t="shared" ca="1" si="233"/>
        <v>0</v>
      </c>
      <c r="AR72" s="39">
        <f t="shared" ca="1" si="233"/>
        <v>0</v>
      </c>
      <c r="AS72" s="39">
        <f t="shared" ca="1" si="233"/>
        <v>0</v>
      </c>
      <c r="AT72" s="43">
        <f t="shared" ca="1" si="233"/>
        <v>0</v>
      </c>
      <c r="AU72" s="330">
        <f ca="1">INDEX($DL$6:$DL$53,MATCH(AI72,$DP$6:$DP$53,0))</f>
        <v>1</v>
      </c>
      <c r="AV72" s="182" t="str">
        <f ca="1">INDEX($BD$6:$BD$53,MATCH(AI72,$BM$6:$BM$53,0))</f>
        <v>Iraq</v>
      </c>
      <c r="AW72" s="210"/>
      <c r="AX72" s="171"/>
      <c r="AY72" s="201" t="str">
        <f ca="1">+A71</f>
        <v>Iraq</v>
      </c>
      <c r="AZ72" s="202"/>
      <c r="BA72" s="176"/>
      <c r="DN72" s="16"/>
    </row>
    <row r="73" spans="1:121" ht="15.95" customHeight="1" thickBot="1">
      <c r="A73" s="16"/>
      <c r="B73" s="16"/>
      <c r="C73" s="16"/>
      <c r="D73" s="16" t="str">
        <f t="shared" si="217"/>
        <v>Pendiente</v>
      </c>
      <c r="E73" s="16" t="str">
        <f t="shared" si="218"/>
        <v>-</v>
      </c>
      <c r="F73" s="16" t="str">
        <f t="shared" si="219"/>
        <v>-</v>
      </c>
      <c r="G73" s="16"/>
      <c r="H73" s="16" t="str">
        <f t="shared" si="220"/>
        <v>-</v>
      </c>
      <c r="I73" s="16" t="str">
        <f t="shared" si="221"/>
        <v>-</v>
      </c>
      <c r="J73" s="16"/>
      <c r="K73" s="16" t="str">
        <f t="shared" si="222"/>
        <v>-</v>
      </c>
      <c r="L73" s="16" t="str">
        <f t="shared" si="223"/>
        <v>-</v>
      </c>
      <c r="M73" s="16"/>
      <c r="N73" s="16" t="str">
        <f t="shared" si="224"/>
        <v>-</v>
      </c>
      <c r="O73" s="16" t="str">
        <f t="shared" si="225"/>
        <v>-</v>
      </c>
      <c r="P73" s="16"/>
      <c r="Q73" s="16" t="str">
        <f t="shared" si="226"/>
        <v>-</v>
      </c>
      <c r="R73" s="16" t="str">
        <f t="shared" si="227"/>
        <v>-</v>
      </c>
      <c r="S73" s="16"/>
      <c r="T73" s="16" t="str">
        <f t="shared" si="228"/>
        <v>-</v>
      </c>
      <c r="U73" s="16" t="str">
        <f t="shared" si="229"/>
        <v>-</v>
      </c>
      <c r="V73" s="17"/>
      <c r="W73" s="672"/>
      <c r="X73" s="28">
        <f ca="1">Horarios!C73</f>
        <v>46199.875</v>
      </c>
      <c r="Y73" s="29">
        <f ca="1">Horarios!C73</f>
        <v>46199.875</v>
      </c>
      <c r="Z73" s="30" t="str">
        <f>$Z$8</f>
        <v>R3</v>
      </c>
      <c r="AA73" s="31" t="str">
        <f ca="1">A70</f>
        <v>Senegal</v>
      </c>
      <c r="AB73" s="52" t="e" cm="1" vm="34">
        <f t="array" aca="1" ref="AB73" ca="1">Ver_flag_local</f>
        <v>#VALUE!</v>
      </c>
      <c r="AC73" s="53"/>
      <c r="AD73" s="54"/>
      <c r="AE73" s="596" t="e" cm="1" vm="35">
        <f t="array" aca="1" ref="AE73" ca="1">Ver_flag_visit</f>
        <v>#VALUE!</v>
      </c>
      <c r="AF73" s="33" t="str">
        <f ca="1">A71</f>
        <v>Iraq</v>
      </c>
      <c r="AG73" s="323">
        <f t="shared" si="230"/>
        <v>0</v>
      </c>
      <c r="AH73" s="195">
        <v>62</v>
      </c>
      <c r="AI73" s="181" t="str">
        <f t="shared" si="234"/>
        <v>4I</v>
      </c>
      <c r="AJ73" s="44">
        <v>4</v>
      </c>
      <c r="AK73" s="604" t="e" cm="1" vm="36">
        <f t="array" aca="1" ref="AK73" ca="1">Ver_flag_visit</f>
        <v>#VALUE!</v>
      </c>
      <c r="AL73" s="45" t="str">
        <f ca="1">IFERROR(INDEX($BD$6:$BD$53,MATCH(AI73,$BN$6:$BN$53,0)),"")</f>
        <v>Norway</v>
      </c>
      <c r="AM73" s="46">
        <f t="shared" ca="1" si="233"/>
        <v>0</v>
      </c>
      <c r="AN73" s="47">
        <f t="shared" ca="1" si="233"/>
        <v>0</v>
      </c>
      <c r="AO73" s="47">
        <f t="shared" ca="1" si="233"/>
        <v>0</v>
      </c>
      <c r="AP73" s="47">
        <f t="shared" ca="1" si="233"/>
        <v>0</v>
      </c>
      <c r="AQ73" s="47">
        <f t="shared" ca="1" si="233"/>
        <v>0</v>
      </c>
      <c r="AR73" s="47">
        <f t="shared" ca="1" si="233"/>
        <v>0</v>
      </c>
      <c r="AS73" s="47">
        <f t="shared" ca="1" si="233"/>
        <v>0</v>
      </c>
      <c r="AT73" s="48">
        <f t="shared" ca="1" si="233"/>
        <v>0</v>
      </c>
      <c r="AU73" s="330">
        <f ca="1">INDEX($DL$6:$DL$53,MATCH(AI73,$DP$6:$DP$53,0))</f>
        <v>1</v>
      </c>
      <c r="AV73" s="182" t="str">
        <f ca="1">INDEX($BD$6:$BD$53,MATCH(AI73,$BM$6:$BM$53,0))</f>
        <v>Norway</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Pendiente</v>
      </c>
      <c r="E76" s="16" t="str">
        <f t="shared" ref="E76:E81" si="236">IF(D76="Pendiente","-",INDEX($BT$6:$BT$53,MATCH($AA76,$BD$6:$BD$53,0)))</f>
        <v>-</v>
      </c>
      <c r="F76" s="16" t="str">
        <f t="shared" ref="F76:F81" si="237">IF(D76="Pendiente","-",INDEX($BT$6:$BT$53,MATCH($AF76,$BD$6:$BD$53,0)))</f>
        <v>-</v>
      </c>
      <c r="G76" s="16"/>
      <c r="H76" s="16" t="str">
        <f t="shared" ref="H76:H81" si="238">IF(D76="Pendiente","-",INDEX($BZ$6:$BZ$53,MATCH($AA76,$BD$6:$BD$53,0)))</f>
        <v>-</v>
      </c>
      <c r="I76" s="16" t="str">
        <f t="shared" ref="I76:I81" si="239">IF(D76="Pendiente","-",INDEX($BZ$6:$BZ$53,MATCH($AF76,$BD$6:$BD$53,0)))</f>
        <v>-</v>
      </c>
      <c r="J76" s="16"/>
      <c r="K76" s="16" t="str">
        <f t="shared" ref="K76:K81" si="240">IF(D76="Pendiente","-",INDEX($CE$6:$CE$53,MATCH($AA76,$BD$6:$BD$53,0)))</f>
        <v>-</v>
      </c>
      <c r="L76" s="16" t="str">
        <f t="shared" ref="L76:L81" si="241">IF(D76="Pendiente","-",INDEX($CE$6:$CE$53,MATCH($AF76,$BD$6:$BD$53,0)))</f>
        <v>-</v>
      </c>
      <c r="M76" s="16"/>
      <c r="N76" s="16" t="str">
        <f t="shared" ref="N76:N81" si="242">IF(D76="Pendiente","-",INDEX($CH$6:$CH$53,MATCH($AA76,$BD$6:$BD$53,0)))</f>
        <v>-</v>
      </c>
      <c r="O76" s="16" t="str">
        <f t="shared" ref="O76:O81" si="243">IF(D76="Pendiente","-",INDEX($CH$6:$CH$53,MATCH($AF76,$BD$6:$BD$53,0)))</f>
        <v>-</v>
      </c>
      <c r="P76" s="16"/>
      <c r="Q76" s="16" t="str">
        <f t="shared" ref="Q76:Q81" si="244">IF(D76="Pendiente","-",INDEX($CN$6:$CN$53,MATCH($AA76,$BD$6:$BD$53,0)))</f>
        <v>-</v>
      </c>
      <c r="R76" s="16" t="str">
        <f t="shared" ref="R76:R81" si="245">IF(D76="Pendiente","-",INDEX($CN$6:$CN$53,MATCH($AF76,$BD$6:$BD$53,0)))</f>
        <v>-</v>
      </c>
      <c r="S76" s="16"/>
      <c r="T76" s="16" t="str">
        <f t="shared" ref="T76:T81" si="246">IF(D76="Pendiente","-",INDEX($CS$6:$CS$53,MATCH($AA76,$BD$6:$BD$53,0)))</f>
        <v>-</v>
      </c>
      <c r="U76" s="16" t="str">
        <f t="shared" ref="U76:U81" si="247">IF(D76="Pendiente","-",INDEX($CS$6:$CS$53,MATCH($AF76,$BD$6:$BD$53,0)))</f>
        <v>-</v>
      </c>
      <c r="V76" s="17"/>
      <c r="W76" s="667" t="s">
        <v>5</v>
      </c>
      <c r="X76" s="24">
        <f ca="1">Horarios!C76</f>
        <v>46190.125</v>
      </c>
      <c r="Y76" s="25">
        <f ca="1">Horarios!C76</f>
        <v>46190.125</v>
      </c>
      <c r="Z76" s="26" t="str">
        <f>$Z$4</f>
        <v>R1</v>
      </c>
      <c r="AA76" s="27" t="str">
        <f ca="1">A77</f>
        <v>Argentina</v>
      </c>
      <c r="AB76" s="49" t="e" cm="1" vm="37">
        <f t="array" aca="1" ref="AB76" ca="1">Ver_flag_local</f>
        <v>#VALUE!</v>
      </c>
      <c r="AC76" s="50"/>
      <c r="AD76" s="51"/>
      <c r="AE76" s="595" t="e" cm="1" vm="38">
        <f t="array" aca="1" ref="AE76" ca="1">Ver_flag_visit</f>
        <v>#VALUE!</v>
      </c>
      <c r="AF76" s="32" t="str">
        <f ca="1">A78</f>
        <v>Algeria</v>
      </c>
      <c r="AG76" s="323">
        <f t="shared" ref="AG76:AG81" si="248">IF(NOT(OR(ISBLANK(AC76),ISBLANK(AD76))),1,0)</f>
        <v>0</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Pendiente</v>
      </c>
      <c r="E77" s="16" t="str">
        <f t="shared" si="236"/>
        <v>-</v>
      </c>
      <c r="F77" s="16" t="str">
        <f t="shared" si="237"/>
        <v>-</v>
      </c>
      <c r="G77" s="16"/>
      <c r="H77" s="16" t="str">
        <f t="shared" si="238"/>
        <v>-</v>
      </c>
      <c r="I77" s="16" t="str">
        <f t="shared" si="239"/>
        <v>-</v>
      </c>
      <c r="J77" s="16"/>
      <c r="K77" s="16" t="str">
        <f t="shared" si="240"/>
        <v>-</v>
      </c>
      <c r="L77" s="16" t="str">
        <f t="shared" si="241"/>
        <v>-</v>
      </c>
      <c r="M77" s="16"/>
      <c r="N77" s="16" t="str">
        <f t="shared" si="242"/>
        <v>-</v>
      </c>
      <c r="O77" s="16" t="str">
        <f t="shared" si="243"/>
        <v>-</v>
      </c>
      <c r="P77" s="16"/>
      <c r="Q77" s="16" t="str">
        <f t="shared" si="244"/>
        <v>-</v>
      </c>
      <c r="R77" s="16" t="str">
        <f t="shared" si="245"/>
        <v>-</v>
      </c>
      <c r="S77" s="16"/>
      <c r="T77" s="16" t="str">
        <f t="shared" si="246"/>
        <v>-</v>
      </c>
      <c r="U77" s="16" t="str">
        <f t="shared" si="247"/>
        <v>-</v>
      </c>
      <c r="V77" s="17"/>
      <c r="W77" s="667"/>
      <c r="X77" s="24">
        <f ca="1">Horarios!C77</f>
        <v>46190.25</v>
      </c>
      <c r="Y77" s="25">
        <f ca="1">Horarios!C77</f>
        <v>46190.25</v>
      </c>
      <c r="Z77" s="26" t="str">
        <f>$Z$4</f>
        <v>R1</v>
      </c>
      <c r="AA77" s="27" t="str">
        <f ca="1">A79</f>
        <v>Austria</v>
      </c>
      <c r="AB77" s="49" t="e" cm="1" vm="39">
        <f t="array" aca="1" ref="AB77" ca="1">Ver_flag_local</f>
        <v>#VALUE!</v>
      </c>
      <c r="AC77" s="50"/>
      <c r="AD77" s="51"/>
      <c r="AE77" s="595" t="e" cm="1" vm="40">
        <f t="array" aca="1" ref="AE77" ca="1">Ver_flag_visit</f>
        <v>#VALUE!</v>
      </c>
      <c r="AF77" s="32" t="str">
        <f ca="1">A80</f>
        <v>Jordan</v>
      </c>
      <c r="AG77" s="323">
        <f t="shared" si="248"/>
        <v>0</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Pendiente</v>
      </c>
      <c r="E78" s="16" t="str">
        <f t="shared" si="236"/>
        <v>-</v>
      </c>
      <c r="F78" s="16" t="str">
        <f t="shared" si="237"/>
        <v>-</v>
      </c>
      <c r="G78" s="16"/>
      <c r="H78" s="16" t="str">
        <f t="shared" si="238"/>
        <v>-</v>
      </c>
      <c r="I78" s="16" t="str">
        <f t="shared" si="239"/>
        <v>-</v>
      </c>
      <c r="J78" s="16"/>
      <c r="K78" s="16" t="str">
        <f t="shared" si="240"/>
        <v>-</v>
      </c>
      <c r="L78" s="16" t="str">
        <f t="shared" si="241"/>
        <v>-</v>
      </c>
      <c r="M78" s="16"/>
      <c r="N78" s="16" t="str">
        <f t="shared" si="242"/>
        <v>-</v>
      </c>
      <c r="O78" s="16" t="str">
        <f t="shared" si="243"/>
        <v>-</v>
      </c>
      <c r="P78" s="16"/>
      <c r="Q78" s="16" t="str">
        <f t="shared" si="244"/>
        <v>-</v>
      </c>
      <c r="R78" s="16" t="str">
        <f t="shared" si="245"/>
        <v>-</v>
      </c>
      <c r="S78" s="16"/>
      <c r="T78" s="16" t="str">
        <f t="shared" si="246"/>
        <v>-</v>
      </c>
      <c r="U78" s="16" t="str">
        <f t="shared" si="247"/>
        <v>-</v>
      </c>
      <c r="V78" s="17"/>
      <c r="W78" s="667"/>
      <c r="X78" s="24">
        <f ca="1">Horarios!C78</f>
        <v>46195.791666666664</v>
      </c>
      <c r="Y78" s="25">
        <f ca="1">Horarios!C78</f>
        <v>46195.791666666664</v>
      </c>
      <c r="Z78" s="26" t="str">
        <f>$Z$6</f>
        <v>R2</v>
      </c>
      <c r="AA78" s="27" t="str">
        <f ca="1">A77</f>
        <v>Argentina</v>
      </c>
      <c r="AB78" s="49" t="e" cm="1" vm="37">
        <f t="array" aca="1" ref="AB78" ca="1">Ver_flag_local</f>
        <v>#VALUE!</v>
      </c>
      <c r="AC78" s="50"/>
      <c r="AD78" s="51"/>
      <c r="AE78" s="595" t="e" cm="1" vm="39">
        <f t="array" aca="1" ref="AE78" ca="1">Ver_flag_visit</f>
        <v>#VALUE!</v>
      </c>
      <c r="AF78" s="32" t="str">
        <f ca="1">A79</f>
        <v>Austria</v>
      </c>
      <c r="AG78" s="323">
        <f t="shared" si="248"/>
        <v>0</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0</v>
      </c>
      <c r="AN78" s="36">
        <f t="shared" ca="1" si="251"/>
        <v>0</v>
      </c>
      <c r="AO78" s="36">
        <f t="shared" ca="1" si="251"/>
        <v>0</v>
      </c>
      <c r="AP78" s="36">
        <f t="shared" ca="1" si="251"/>
        <v>0</v>
      </c>
      <c r="AQ78" s="36">
        <f t="shared" ca="1" si="251"/>
        <v>0</v>
      </c>
      <c r="AR78" s="36">
        <f t="shared" ca="1" si="251"/>
        <v>0</v>
      </c>
      <c r="AS78" s="36">
        <f t="shared" ca="1" si="251"/>
        <v>0</v>
      </c>
      <c r="AT78" s="41">
        <f t="shared" ca="1" si="251"/>
        <v>0</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Pendiente</v>
      </c>
      <c r="E79" s="16" t="str">
        <f t="shared" si="236"/>
        <v>-</v>
      </c>
      <c r="F79" s="16" t="str">
        <f t="shared" si="237"/>
        <v>-</v>
      </c>
      <c r="G79" s="16"/>
      <c r="H79" s="16" t="str">
        <f t="shared" si="238"/>
        <v>-</v>
      </c>
      <c r="I79" s="16" t="str">
        <f t="shared" si="239"/>
        <v>-</v>
      </c>
      <c r="J79" s="16"/>
      <c r="K79" s="16" t="str">
        <f t="shared" si="240"/>
        <v>-</v>
      </c>
      <c r="L79" s="16" t="str">
        <f t="shared" si="241"/>
        <v>-</v>
      </c>
      <c r="M79" s="16"/>
      <c r="N79" s="16" t="str">
        <f t="shared" si="242"/>
        <v>-</v>
      </c>
      <c r="O79" s="16" t="str">
        <f t="shared" si="243"/>
        <v>-</v>
      </c>
      <c r="P79" s="16"/>
      <c r="Q79" s="16" t="str">
        <f t="shared" si="244"/>
        <v>-</v>
      </c>
      <c r="R79" s="16" t="str">
        <f t="shared" si="245"/>
        <v>-</v>
      </c>
      <c r="S79" s="16"/>
      <c r="T79" s="16" t="str">
        <f t="shared" si="246"/>
        <v>-</v>
      </c>
      <c r="U79" s="16" t="str">
        <f t="shared" si="247"/>
        <v>-</v>
      </c>
      <c r="V79" s="17"/>
      <c r="W79" s="667"/>
      <c r="X79" s="24">
        <f ca="1">Horarios!C79</f>
        <v>46196.208333333336</v>
      </c>
      <c r="Y79" s="25">
        <f ca="1">Horarios!C79</f>
        <v>46196.208333333336</v>
      </c>
      <c r="Z79" s="26" t="str">
        <f>$Z$6</f>
        <v>R2</v>
      </c>
      <c r="AA79" s="27" t="str">
        <f ca="1">A80</f>
        <v>Jordan</v>
      </c>
      <c r="AB79" s="49" t="e" cm="1" vm="40">
        <f t="array" aca="1" ref="AB79" ca="1">Ver_flag_local</f>
        <v>#VALUE!</v>
      </c>
      <c r="AC79" s="50"/>
      <c r="AD79" s="51"/>
      <c r="AE79" s="595" t="e" cm="1" vm="38">
        <f t="array" aca="1" ref="AE79" ca="1">Ver_flag_visit</f>
        <v>#VALUE!</v>
      </c>
      <c r="AF79" s="32" t="str">
        <f ca="1">A78</f>
        <v>Algeria</v>
      </c>
      <c r="AG79" s="323">
        <f t="shared" si="248"/>
        <v>0</v>
      </c>
      <c r="AH79" s="195">
        <v>44</v>
      </c>
      <c r="AI79" s="181" t="str">
        <f t="shared" ref="AI79:AI81" si="252">AJ79&amp;$B$76</f>
        <v>2J</v>
      </c>
      <c r="AJ79" s="42">
        <v>2</v>
      </c>
      <c r="AK79" s="602" t="e" cm="1" vm="38">
        <f t="array" aca="1" ref="AK79" ca="1">Ver_flag_visit</f>
        <v>#VALUE!</v>
      </c>
      <c r="AL79" s="37" t="str">
        <f ca="1">IFERROR(INDEX($BD$6:$BD$53,MATCH(AI79,$BN$6:$BN$53,0)),"")</f>
        <v>Algeria</v>
      </c>
      <c r="AM79" s="38">
        <f t="shared" ca="1" si="251"/>
        <v>0</v>
      </c>
      <c r="AN79" s="39">
        <f t="shared" ca="1" si="251"/>
        <v>0</v>
      </c>
      <c r="AO79" s="39">
        <f t="shared" ca="1" si="251"/>
        <v>0</v>
      </c>
      <c r="AP79" s="39">
        <f t="shared" ca="1" si="251"/>
        <v>0</v>
      </c>
      <c r="AQ79" s="39">
        <f t="shared" ca="1" si="251"/>
        <v>0</v>
      </c>
      <c r="AR79" s="39">
        <f t="shared" ca="1" si="251"/>
        <v>0</v>
      </c>
      <c r="AS79" s="39">
        <f t="shared" ca="1" si="251"/>
        <v>0</v>
      </c>
      <c r="AT79" s="43">
        <f t="shared" ca="1" si="251"/>
        <v>0</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Pendiente</v>
      </c>
      <c r="E80" s="16" t="str">
        <f t="shared" si="236"/>
        <v>-</v>
      </c>
      <c r="F80" s="16" t="str">
        <f t="shared" si="237"/>
        <v>-</v>
      </c>
      <c r="G80" s="16"/>
      <c r="H80" s="16" t="str">
        <f t="shared" si="238"/>
        <v>-</v>
      </c>
      <c r="I80" s="16" t="str">
        <f t="shared" si="239"/>
        <v>-</v>
      </c>
      <c r="J80" s="16"/>
      <c r="K80" s="16" t="str">
        <f t="shared" si="240"/>
        <v>-</v>
      </c>
      <c r="L80" s="16" t="str">
        <f t="shared" si="241"/>
        <v>-</v>
      </c>
      <c r="M80" s="16"/>
      <c r="N80" s="16" t="str">
        <f t="shared" si="242"/>
        <v>-</v>
      </c>
      <c r="O80" s="16" t="str">
        <f t="shared" si="243"/>
        <v>-</v>
      </c>
      <c r="P80" s="16"/>
      <c r="Q80" s="16" t="str">
        <f t="shared" si="244"/>
        <v>-</v>
      </c>
      <c r="R80" s="16" t="str">
        <f t="shared" si="245"/>
        <v>-</v>
      </c>
      <c r="S80" s="16"/>
      <c r="T80" s="16" t="str">
        <f t="shared" si="246"/>
        <v>-</v>
      </c>
      <c r="U80" s="16" t="str">
        <f t="shared" si="247"/>
        <v>-</v>
      </c>
      <c r="V80" s="17"/>
      <c r="W80" s="667"/>
      <c r="X80" s="24">
        <f ca="1">Horarios!C80</f>
        <v>46201.166666666664</v>
      </c>
      <c r="Y80" s="25">
        <f ca="1">Horarios!C80</f>
        <v>46201.166666666664</v>
      </c>
      <c r="Z80" s="26" t="str">
        <f>$Z$8</f>
        <v>R3</v>
      </c>
      <c r="AA80" s="27" t="str">
        <f ca="1">A78</f>
        <v>Algeria</v>
      </c>
      <c r="AB80" s="49" t="e" cm="1" vm="38">
        <f t="array" aca="1" ref="AB80" ca="1">Ver_flag_local</f>
        <v>#VALUE!</v>
      </c>
      <c r="AC80" s="50"/>
      <c r="AD80" s="51"/>
      <c r="AE80" s="595" t="e" cm="1" vm="39">
        <f t="array" aca="1" ref="AE80" ca="1">Ver_flag_visit</f>
        <v>#VALUE!</v>
      </c>
      <c r="AF80" s="32" t="str">
        <f ca="1">A79</f>
        <v>Austria</v>
      </c>
      <c r="AG80" s="323">
        <f t="shared" si="248"/>
        <v>0</v>
      </c>
      <c r="AH80" s="195">
        <v>69</v>
      </c>
      <c r="AI80" s="181" t="str">
        <f t="shared" si="252"/>
        <v>3J</v>
      </c>
      <c r="AJ80" s="42">
        <v>3</v>
      </c>
      <c r="AK80" s="602" t="e" cm="1" vm="39">
        <f t="array" aca="1" ref="AK80" ca="1">Ver_flag_visit</f>
        <v>#VALUE!</v>
      </c>
      <c r="AL80" s="37" t="str">
        <f ca="1">IFERROR(INDEX($BD$6:$BD$53,MATCH(AI80,$BN$6:$BN$53,0)),"")</f>
        <v>Austria</v>
      </c>
      <c r="AM80" s="38">
        <f t="shared" ca="1" si="251"/>
        <v>0</v>
      </c>
      <c r="AN80" s="39">
        <f t="shared" ca="1" si="251"/>
        <v>0</v>
      </c>
      <c r="AO80" s="39">
        <f t="shared" ca="1" si="251"/>
        <v>0</v>
      </c>
      <c r="AP80" s="39">
        <f t="shared" ca="1" si="251"/>
        <v>0</v>
      </c>
      <c r="AQ80" s="39">
        <f t="shared" ca="1" si="251"/>
        <v>0</v>
      </c>
      <c r="AR80" s="39">
        <f t="shared" ca="1" si="251"/>
        <v>0</v>
      </c>
      <c r="AS80" s="39">
        <f t="shared" ca="1" si="251"/>
        <v>0</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Pendiente</v>
      </c>
      <c r="E81" s="16" t="str">
        <f t="shared" si="236"/>
        <v>-</v>
      </c>
      <c r="F81" s="16" t="str">
        <f t="shared" si="237"/>
        <v>-</v>
      </c>
      <c r="G81" s="16"/>
      <c r="H81" s="16" t="str">
        <f t="shared" si="238"/>
        <v>-</v>
      </c>
      <c r="I81" s="16" t="str">
        <f t="shared" si="239"/>
        <v>-</v>
      </c>
      <c r="J81" s="16"/>
      <c r="K81" s="16" t="str">
        <f t="shared" si="240"/>
        <v>-</v>
      </c>
      <c r="L81" s="16" t="str">
        <f t="shared" si="241"/>
        <v>-</v>
      </c>
      <c r="M81" s="16"/>
      <c r="N81" s="16" t="str">
        <f t="shared" si="242"/>
        <v>-</v>
      </c>
      <c r="O81" s="16" t="str">
        <f t="shared" si="243"/>
        <v>-</v>
      </c>
      <c r="P81" s="16"/>
      <c r="Q81" s="16" t="str">
        <f t="shared" si="244"/>
        <v>-</v>
      </c>
      <c r="R81" s="16" t="str">
        <f t="shared" si="245"/>
        <v>-</v>
      </c>
      <c r="S81" s="16"/>
      <c r="T81" s="16" t="str">
        <f t="shared" si="246"/>
        <v>-</v>
      </c>
      <c r="U81" s="16" t="str">
        <f t="shared" si="247"/>
        <v>-</v>
      </c>
      <c r="V81" s="17"/>
      <c r="W81" s="668"/>
      <c r="X81" s="28">
        <f ca="1">Horarios!C81</f>
        <v>46201.166666666664</v>
      </c>
      <c r="Y81" s="29">
        <f ca="1">Horarios!C81</f>
        <v>46201.166666666664</v>
      </c>
      <c r="Z81" s="30" t="str">
        <f>$Z$8</f>
        <v>R3</v>
      </c>
      <c r="AA81" s="31" t="str">
        <f ca="1">A80</f>
        <v>Jordan</v>
      </c>
      <c r="AB81" s="52" t="e" cm="1" vm="40">
        <f t="array" aca="1" ref="AB81" ca="1">Ver_flag_local</f>
        <v>#VALUE!</v>
      </c>
      <c r="AC81" s="53"/>
      <c r="AD81" s="54"/>
      <c r="AE81" s="596" t="e" cm="1" vm="37">
        <f t="array" aca="1" ref="AE81" ca="1">Ver_flag_visit</f>
        <v>#VALUE!</v>
      </c>
      <c r="AF81" s="33" t="str">
        <f ca="1">A77</f>
        <v>Argentina</v>
      </c>
      <c r="AG81" s="323">
        <f t="shared" si="248"/>
        <v>0</v>
      </c>
      <c r="AH81" s="195">
        <v>70</v>
      </c>
      <c r="AI81" s="181" t="str">
        <f t="shared" si="252"/>
        <v>4J</v>
      </c>
      <c r="AJ81" s="44">
        <v>4</v>
      </c>
      <c r="AK81" s="604" t="e" cm="1" vm="40">
        <f t="array" aca="1" ref="AK81" ca="1">Ver_flag_visit</f>
        <v>#VALUE!</v>
      </c>
      <c r="AL81" s="45" t="str">
        <f ca="1">IFERROR(INDEX($BD$6:$BD$53,MATCH(AI81,$BN$6:$BN$53,0)),"")</f>
        <v>Jordan</v>
      </c>
      <c r="AM81" s="46">
        <f t="shared" ca="1" si="251"/>
        <v>0</v>
      </c>
      <c r="AN81" s="47">
        <f t="shared" ca="1" si="251"/>
        <v>0</v>
      </c>
      <c r="AO81" s="47">
        <f t="shared" ca="1" si="251"/>
        <v>0</v>
      </c>
      <c r="AP81" s="47">
        <f t="shared" ca="1" si="251"/>
        <v>0</v>
      </c>
      <c r="AQ81" s="47">
        <f t="shared" ca="1" si="251"/>
        <v>0</v>
      </c>
      <c r="AR81" s="47">
        <f t="shared" ca="1" si="251"/>
        <v>0</v>
      </c>
      <c r="AS81" s="47">
        <f t="shared" ca="1" si="251"/>
        <v>0</v>
      </c>
      <c r="AT81" s="48">
        <f t="shared" ca="1" si="251"/>
        <v>0</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Pendiente</v>
      </c>
      <c r="E84" s="16" t="str">
        <f t="shared" ref="E84:E89" si="254">IF(D84="Pendiente","-",INDEX($BT$6:$BT$53,MATCH($AA84,$BD$6:$BD$53,0)))</f>
        <v>-</v>
      </c>
      <c r="F84" s="16" t="str">
        <f t="shared" ref="F84:F89" si="255">IF(D84="Pendiente","-",INDEX($BT$6:$BT$53,MATCH($AF84,$BD$6:$BD$53,0)))</f>
        <v>-</v>
      </c>
      <c r="G84" s="16"/>
      <c r="H84" s="16" t="str">
        <f t="shared" ref="H84:H89" si="256">IF(D84="Pendiente","-",INDEX($BZ$6:$BZ$53,MATCH($AA84,$BD$6:$BD$53,0)))</f>
        <v>-</v>
      </c>
      <c r="I84" s="16" t="str">
        <f t="shared" ref="I84:I89" si="257">IF(D84="Pendiente","-",INDEX($BZ$6:$BZ$53,MATCH($AF84,$BD$6:$BD$53,0)))</f>
        <v>-</v>
      </c>
      <c r="J84" s="16"/>
      <c r="K84" s="16" t="str">
        <f t="shared" ref="K84:K89" si="258">IF(D84="Pendiente","-",INDEX($CE$6:$CE$53,MATCH($AA84,$BD$6:$BD$53,0)))</f>
        <v>-</v>
      </c>
      <c r="L84" s="16" t="str">
        <f t="shared" ref="L84:L89" si="259">IF(D84="Pendiente","-",INDEX($CE$6:$CE$53,MATCH($AF84,$BD$6:$BD$53,0)))</f>
        <v>-</v>
      </c>
      <c r="M84" s="16"/>
      <c r="N84" s="16" t="str">
        <f t="shared" ref="N84:N89" si="260">IF(D84="Pendiente","-",INDEX($CH$6:$CH$53,MATCH($AA84,$BD$6:$BD$53,0)))</f>
        <v>-</v>
      </c>
      <c r="O84" s="16" t="str">
        <f t="shared" ref="O84:O89" si="261">IF(D84="Pendiente","-",INDEX($CH$6:$CH$53,MATCH($AF84,$BD$6:$BD$53,0)))</f>
        <v>-</v>
      </c>
      <c r="P84" s="16"/>
      <c r="Q84" s="16" t="str">
        <f t="shared" ref="Q84:Q89" si="262">IF(D84="Pendiente","-",INDEX($CN$6:$CN$53,MATCH($AA84,$BD$6:$BD$53,0)))</f>
        <v>-</v>
      </c>
      <c r="R84" s="16" t="str">
        <f t="shared" ref="R84:R89" si="263">IF(D84="Pendiente","-",INDEX($CN$6:$CN$53,MATCH($AF84,$BD$6:$BD$53,0)))</f>
        <v>-</v>
      </c>
      <c r="S84" s="16"/>
      <c r="T84" s="16" t="str">
        <f t="shared" ref="T84:T89" si="264">IF(D84="Pendiente","-",INDEX($CS$6:$CS$53,MATCH($AA84,$BD$6:$BD$53,0)))</f>
        <v>-</v>
      </c>
      <c r="U84" s="16" t="str">
        <f t="shared" ref="U84:U89" si="265">IF(D84="Pendiente","-",INDEX($CS$6:$CS$53,MATCH($AF84,$BD$6:$BD$53,0)))</f>
        <v>-</v>
      </c>
      <c r="V84" s="17"/>
      <c r="W84" s="673" t="s">
        <v>449</v>
      </c>
      <c r="X84" s="24">
        <f ca="1">Horarios!C84</f>
        <v>46190.791666666664</v>
      </c>
      <c r="Y84" s="25">
        <f ca="1">Horarios!C84</f>
        <v>46190.791666666664</v>
      </c>
      <c r="Z84" s="26" t="str">
        <f>$Z$4</f>
        <v>R1</v>
      </c>
      <c r="AA84" s="27" t="str">
        <f ca="1">A85</f>
        <v>Portugal</v>
      </c>
      <c r="AB84" s="49" t="e" cm="1" vm="41">
        <f t="array" aca="1" ref="AB84" ca="1">Ver_flag_local</f>
        <v>#VALUE!</v>
      </c>
      <c r="AC84" s="50"/>
      <c r="AD84" s="51"/>
      <c r="AE84" s="595" t="e" cm="1" vm="42">
        <f t="array" aca="1" ref="AE84" ca="1">Ver_flag_visit</f>
        <v>#VALUE!</v>
      </c>
      <c r="AF84" s="32" t="str">
        <f ca="1">A86</f>
        <v>DR Congo</v>
      </c>
      <c r="AG84" s="323">
        <f t="shared" ref="AG84:AG89" si="266">IF(NOT(OR(ISBLANK(AC84),ISBLANK(AD84))),1,0)</f>
        <v>0</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Pendiente</v>
      </c>
      <c r="E85" s="16" t="str">
        <f t="shared" si="254"/>
        <v>-</v>
      </c>
      <c r="F85" s="16" t="str">
        <f t="shared" si="255"/>
        <v>-</v>
      </c>
      <c r="G85" s="16"/>
      <c r="H85" s="16" t="str">
        <f t="shared" si="256"/>
        <v>-</v>
      </c>
      <c r="I85" s="16" t="str">
        <f t="shared" si="257"/>
        <v>-</v>
      </c>
      <c r="J85" s="16"/>
      <c r="K85" s="16" t="str">
        <f t="shared" si="258"/>
        <v>-</v>
      </c>
      <c r="L85" s="16" t="str">
        <f t="shared" si="259"/>
        <v>-</v>
      </c>
      <c r="M85" s="16"/>
      <c r="N85" s="16" t="str">
        <f t="shared" si="260"/>
        <v>-</v>
      </c>
      <c r="O85" s="16" t="str">
        <f t="shared" si="261"/>
        <v>-</v>
      </c>
      <c r="P85" s="16"/>
      <c r="Q85" s="16" t="str">
        <f t="shared" si="262"/>
        <v>-</v>
      </c>
      <c r="R85" s="16" t="str">
        <f t="shared" si="263"/>
        <v>-</v>
      </c>
      <c r="S85" s="16"/>
      <c r="T85" s="16" t="str">
        <f t="shared" si="264"/>
        <v>-</v>
      </c>
      <c r="U85" s="16" t="str">
        <f t="shared" si="265"/>
        <v>-</v>
      </c>
      <c r="V85" s="17"/>
      <c r="W85" s="673"/>
      <c r="X85" s="24">
        <f ca="1">Horarios!C85</f>
        <v>46191.166666666664</v>
      </c>
      <c r="Y85" s="25">
        <f ca="1">Horarios!C85</f>
        <v>46191.166666666664</v>
      </c>
      <c r="Z85" s="26" t="str">
        <f>$Z$4</f>
        <v>R1</v>
      </c>
      <c r="AA85" s="27" t="str">
        <f ca="1">A87</f>
        <v>Uzbekistan</v>
      </c>
      <c r="AB85" s="49" t="e" cm="1" vm="43">
        <f t="array" aca="1" ref="AB85" ca="1">Ver_flag_local</f>
        <v>#VALUE!</v>
      </c>
      <c r="AC85" s="50"/>
      <c r="AD85" s="51"/>
      <c r="AE85" s="595" t="e" cm="1" vm="44">
        <f t="array" aca="1" ref="AE85" ca="1">Ver_flag_visit</f>
        <v>#VALUE!</v>
      </c>
      <c r="AF85" s="32" t="str">
        <f ca="1">A88</f>
        <v>Colombia</v>
      </c>
      <c r="AG85" s="323">
        <f t="shared" si="266"/>
        <v>0</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Pendiente</v>
      </c>
      <c r="E86" s="16" t="str">
        <f t="shared" si="254"/>
        <v>-</v>
      </c>
      <c r="F86" s="16" t="str">
        <f t="shared" si="255"/>
        <v>-</v>
      </c>
      <c r="G86" s="16"/>
      <c r="H86" s="16" t="str">
        <f t="shared" si="256"/>
        <v>-</v>
      </c>
      <c r="I86" s="16" t="str">
        <f t="shared" si="257"/>
        <v>-</v>
      </c>
      <c r="J86" s="16"/>
      <c r="K86" s="16" t="str">
        <f t="shared" si="258"/>
        <v>-</v>
      </c>
      <c r="L86" s="16" t="str">
        <f t="shared" si="259"/>
        <v>-</v>
      </c>
      <c r="M86" s="16"/>
      <c r="N86" s="16" t="str">
        <f t="shared" si="260"/>
        <v>-</v>
      </c>
      <c r="O86" s="16" t="str">
        <f t="shared" si="261"/>
        <v>-</v>
      </c>
      <c r="P86" s="16"/>
      <c r="Q86" s="16" t="str">
        <f t="shared" si="262"/>
        <v>-</v>
      </c>
      <c r="R86" s="16" t="str">
        <f t="shared" si="263"/>
        <v>-</v>
      </c>
      <c r="S86" s="16"/>
      <c r="T86" s="16" t="str">
        <f t="shared" si="264"/>
        <v>-</v>
      </c>
      <c r="U86" s="16" t="str">
        <f t="shared" si="265"/>
        <v>-</v>
      </c>
      <c r="V86" s="17"/>
      <c r="W86" s="673"/>
      <c r="X86" s="24">
        <f ca="1">Horarios!C86</f>
        <v>46196.791666666664</v>
      </c>
      <c r="Y86" s="25">
        <f ca="1">Horarios!C86</f>
        <v>46196.791666666664</v>
      </c>
      <c r="Z86" s="26" t="str">
        <f>$Z$6</f>
        <v>R2</v>
      </c>
      <c r="AA86" s="27" t="str">
        <f ca="1">A85</f>
        <v>Portugal</v>
      </c>
      <c r="AB86" s="49" t="e" cm="1" vm="41">
        <f t="array" aca="1" ref="AB86" ca="1">Ver_flag_local</f>
        <v>#VALUE!</v>
      </c>
      <c r="AC86" s="50"/>
      <c r="AD86" s="51"/>
      <c r="AE86" s="595" t="e" cm="1" vm="43">
        <f t="array" aca="1" ref="AE86" ca="1">Ver_flag_visit</f>
        <v>#VALUE!</v>
      </c>
      <c r="AF86" s="32" t="str">
        <f ca="1">A87</f>
        <v>Uzbekistan</v>
      </c>
      <c r="AG86" s="323">
        <f t="shared" si="266"/>
        <v>0</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0</v>
      </c>
      <c r="AN86" s="36">
        <f t="shared" ca="1" si="269"/>
        <v>0</v>
      </c>
      <c r="AO86" s="36">
        <f t="shared" ca="1" si="269"/>
        <v>0</v>
      </c>
      <c r="AP86" s="36">
        <f t="shared" ca="1" si="269"/>
        <v>0</v>
      </c>
      <c r="AQ86" s="36">
        <f t="shared" ca="1" si="269"/>
        <v>0</v>
      </c>
      <c r="AR86" s="36">
        <f t="shared" ca="1" si="269"/>
        <v>0</v>
      </c>
      <c r="AS86" s="36">
        <f t="shared" ca="1" si="269"/>
        <v>0</v>
      </c>
      <c r="AT86" s="41">
        <f t="shared" ca="1" si="269"/>
        <v>0</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Pendiente</v>
      </c>
      <c r="E87" s="16" t="str">
        <f t="shared" si="254"/>
        <v>-</v>
      </c>
      <c r="F87" s="16" t="str">
        <f t="shared" si="255"/>
        <v>-</v>
      </c>
      <c r="G87" s="16"/>
      <c r="H87" s="16" t="str">
        <f t="shared" si="256"/>
        <v>-</v>
      </c>
      <c r="I87" s="16" t="str">
        <f t="shared" si="257"/>
        <v>-</v>
      </c>
      <c r="J87" s="16"/>
      <c r="K87" s="16" t="str">
        <f t="shared" si="258"/>
        <v>-</v>
      </c>
      <c r="L87" s="16" t="str">
        <f t="shared" si="259"/>
        <v>-</v>
      </c>
      <c r="M87" s="16"/>
      <c r="N87" s="16" t="str">
        <f t="shared" si="260"/>
        <v>-</v>
      </c>
      <c r="O87" s="16" t="str">
        <f t="shared" si="261"/>
        <v>-</v>
      </c>
      <c r="P87" s="16"/>
      <c r="Q87" s="16" t="str">
        <f t="shared" si="262"/>
        <v>-</v>
      </c>
      <c r="R87" s="16" t="str">
        <f t="shared" si="263"/>
        <v>-</v>
      </c>
      <c r="S87" s="16"/>
      <c r="T87" s="16" t="str">
        <f t="shared" si="264"/>
        <v>-</v>
      </c>
      <c r="U87" s="16" t="str">
        <f t="shared" si="265"/>
        <v>-</v>
      </c>
      <c r="V87" s="17"/>
      <c r="W87" s="673"/>
      <c r="X87" s="24">
        <f ca="1">Horarios!C87</f>
        <v>46197.166666666664</v>
      </c>
      <c r="Y87" s="25">
        <f ca="1">Horarios!C87</f>
        <v>46197.166666666664</v>
      </c>
      <c r="Z87" s="26" t="str">
        <f>$Z$6</f>
        <v>R2</v>
      </c>
      <c r="AA87" s="27" t="str">
        <f ca="1">A88</f>
        <v>Colombia</v>
      </c>
      <c r="AB87" s="49" t="e" cm="1" vm="44">
        <f t="array" aca="1" ref="AB87" ca="1">Ver_flag_local</f>
        <v>#VALUE!</v>
      </c>
      <c r="AC87" s="50"/>
      <c r="AD87" s="51"/>
      <c r="AE87" s="595" t="e" cm="1" vm="42">
        <f t="array" aca="1" ref="AE87" ca="1">Ver_flag_visit</f>
        <v>#VALUE!</v>
      </c>
      <c r="AF87" s="32" t="str">
        <f ca="1">A86</f>
        <v>DR Congo</v>
      </c>
      <c r="AG87" s="323">
        <f t="shared" si="266"/>
        <v>0</v>
      </c>
      <c r="AH87" s="195">
        <v>48</v>
      </c>
      <c r="AI87" s="181" t="str">
        <f t="shared" ref="AI87:AI89" si="270">AJ87&amp;$B$84</f>
        <v>2K</v>
      </c>
      <c r="AJ87" s="42">
        <v>2</v>
      </c>
      <c r="AK87" s="602" t="e" cm="1" vm="42">
        <f t="array" aca="1" ref="AK87" ca="1">Ver_flag_visit</f>
        <v>#VALUE!</v>
      </c>
      <c r="AL87" s="37" t="str">
        <f ca="1">IFERROR(INDEX($BD$6:$BD$53,MATCH(AI87,$BN$6:$BN$53,0)),"")</f>
        <v>DR Congo</v>
      </c>
      <c r="AM87" s="38">
        <f t="shared" ca="1" si="269"/>
        <v>0</v>
      </c>
      <c r="AN87" s="39">
        <f t="shared" ca="1" si="269"/>
        <v>0</v>
      </c>
      <c r="AO87" s="39">
        <f t="shared" ca="1" si="269"/>
        <v>0</v>
      </c>
      <c r="AP87" s="39">
        <f t="shared" ca="1" si="269"/>
        <v>0</v>
      </c>
      <c r="AQ87" s="39">
        <f t="shared" ca="1" si="269"/>
        <v>0</v>
      </c>
      <c r="AR87" s="39">
        <f t="shared" ca="1" si="269"/>
        <v>0</v>
      </c>
      <c r="AS87" s="39">
        <f t="shared" ca="1" si="269"/>
        <v>0</v>
      </c>
      <c r="AT87" s="43">
        <f t="shared" ca="1" si="269"/>
        <v>0</v>
      </c>
      <c r="AU87" s="330">
        <f ca="1">INDEX($DL$6:$DL$53,MATCH(AI87,$DP$6:$DP$53,0))</f>
        <v>1</v>
      </c>
      <c r="AV87" s="182" t="str">
        <f ca="1">INDEX($BD$6:$BD$53,MATCH(AI87,$BM$6:$BM$53,0))</f>
        <v>DR Congo</v>
      </c>
      <c r="AW87" s="210"/>
      <c r="AX87" s="171"/>
      <c r="AY87" s="203" t="str">
        <f ca="1">+A86</f>
        <v>DR Congo</v>
      </c>
      <c r="AZ87" s="204"/>
      <c r="BA87" s="176"/>
      <c r="DN87" s="16"/>
    </row>
    <row r="88" spans="1:118" ht="15.95" customHeight="1">
      <c r="A88" s="16" t="str">
        <f ca="1">+Equipos!B45</f>
        <v>Colombia</v>
      </c>
      <c r="B88" s="16"/>
      <c r="C88" s="16"/>
      <c r="D88" s="16" t="str">
        <f t="shared" si="253"/>
        <v>Pendiente</v>
      </c>
      <c r="E88" s="16" t="str">
        <f t="shared" si="254"/>
        <v>-</v>
      </c>
      <c r="F88" s="16" t="str">
        <f t="shared" si="255"/>
        <v>-</v>
      </c>
      <c r="G88" s="16"/>
      <c r="H88" s="16" t="str">
        <f t="shared" si="256"/>
        <v>-</v>
      </c>
      <c r="I88" s="16" t="str">
        <f t="shared" si="257"/>
        <v>-</v>
      </c>
      <c r="J88" s="16"/>
      <c r="K88" s="16" t="str">
        <f t="shared" si="258"/>
        <v>-</v>
      </c>
      <c r="L88" s="16" t="str">
        <f t="shared" si="259"/>
        <v>-</v>
      </c>
      <c r="M88" s="16"/>
      <c r="N88" s="16" t="str">
        <f t="shared" si="260"/>
        <v>-</v>
      </c>
      <c r="O88" s="16" t="str">
        <f t="shared" si="261"/>
        <v>-</v>
      </c>
      <c r="P88" s="16"/>
      <c r="Q88" s="16" t="str">
        <f t="shared" si="262"/>
        <v>-</v>
      </c>
      <c r="R88" s="16" t="str">
        <f t="shared" si="263"/>
        <v>-</v>
      </c>
      <c r="S88" s="16"/>
      <c r="T88" s="16" t="str">
        <f t="shared" si="264"/>
        <v>-</v>
      </c>
      <c r="U88" s="16" t="str">
        <f t="shared" si="265"/>
        <v>-</v>
      </c>
      <c r="V88" s="17"/>
      <c r="W88" s="673"/>
      <c r="X88" s="24">
        <f ca="1">Horarios!C88</f>
        <v>46201.0625</v>
      </c>
      <c r="Y88" s="25">
        <f ca="1">Horarios!C88</f>
        <v>46201.0625</v>
      </c>
      <c r="Z88" s="26" t="str">
        <f>$Z$8</f>
        <v>R3</v>
      </c>
      <c r="AA88" s="27" t="str">
        <f ca="1">A88</f>
        <v>Colombia</v>
      </c>
      <c r="AB88" s="49" t="e" cm="1" vm="44">
        <f t="array" aca="1" ref="AB88" ca="1">Ver_flag_local</f>
        <v>#VALUE!</v>
      </c>
      <c r="AC88" s="50"/>
      <c r="AD88" s="51"/>
      <c r="AE88" s="595" t="e" cm="1" vm="41">
        <f t="array" aca="1" ref="AE88" ca="1">Ver_flag_visit</f>
        <v>#VALUE!</v>
      </c>
      <c r="AF88" s="32" t="str">
        <f ca="1">A85</f>
        <v>Portugal</v>
      </c>
      <c r="AG88" s="323">
        <f t="shared" si="266"/>
        <v>0</v>
      </c>
      <c r="AH88" s="195">
        <v>71</v>
      </c>
      <c r="AI88" s="181" t="str">
        <f t="shared" si="270"/>
        <v>3K</v>
      </c>
      <c r="AJ88" s="42">
        <v>3</v>
      </c>
      <c r="AK88" s="602" t="e" cm="1" vm="43">
        <f t="array" aca="1" ref="AK88" ca="1">Ver_flag_visit</f>
        <v>#VALUE!</v>
      </c>
      <c r="AL88" s="37" t="str">
        <f ca="1">IFERROR(INDEX($BD$6:$BD$53,MATCH(AI88,$BN$6:$BN$53,0)),"")</f>
        <v>Uzbekistan</v>
      </c>
      <c r="AM88" s="38">
        <f t="shared" ca="1" si="269"/>
        <v>0</v>
      </c>
      <c r="AN88" s="39">
        <f t="shared" ca="1" si="269"/>
        <v>0</v>
      </c>
      <c r="AO88" s="39">
        <f t="shared" ca="1" si="269"/>
        <v>0</v>
      </c>
      <c r="AP88" s="39">
        <f t="shared" ca="1" si="269"/>
        <v>0</v>
      </c>
      <c r="AQ88" s="39">
        <f t="shared" ca="1" si="269"/>
        <v>0</v>
      </c>
      <c r="AR88" s="39">
        <f t="shared" ca="1" si="269"/>
        <v>0</v>
      </c>
      <c r="AS88" s="39">
        <f t="shared" ca="1" si="269"/>
        <v>0</v>
      </c>
      <c r="AT88" s="43">
        <f t="shared" ca="1" si="269"/>
        <v>0</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Pendiente</v>
      </c>
      <c r="E89" s="16" t="str">
        <f t="shared" si="254"/>
        <v>-</v>
      </c>
      <c r="F89" s="16" t="str">
        <f t="shared" si="255"/>
        <v>-</v>
      </c>
      <c r="G89" s="16"/>
      <c r="H89" s="16" t="str">
        <f t="shared" si="256"/>
        <v>-</v>
      </c>
      <c r="I89" s="16" t="str">
        <f t="shared" si="257"/>
        <v>-</v>
      </c>
      <c r="J89" s="16"/>
      <c r="K89" s="16" t="str">
        <f t="shared" si="258"/>
        <v>-</v>
      </c>
      <c r="L89" s="16" t="str">
        <f t="shared" si="259"/>
        <v>-</v>
      </c>
      <c r="M89" s="16"/>
      <c r="N89" s="16" t="str">
        <f t="shared" si="260"/>
        <v>-</v>
      </c>
      <c r="O89" s="16" t="str">
        <f t="shared" si="261"/>
        <v>-</v>
      </c>
      <c r="P89" s="16"/>
      <c r="Q89" s="16" t="str">
        <f t="shared" si="262"/>
        <v>-</v>
      </c>
      <c r="R89" s="16" t="str">
        <f t="shared" si="263"/>
        <v>-</v>
      </c>
      <c r="S89" s="16"/>
      <c r="T89" s="16" t="str">
        <f t="shared" si="264"/>
        <v>-</v>
      </c>
      <c r="U89" s="16" t="str">
        <f t="shared" si="265"/>
        <v>-</v>
      </c>
      <c r="V89" s="17"/>
      <c r="W89" s="674"/>
      <c r="X89" s="28">
        <f ca="1">Horarios!C89</f>
        <v>46201.0625</v>
      </c>
      <c r="Y89" s="29">
        <f ca="1">Horarios!C89</f>
        <v>46201.0625</v>
      </c>
      <c r="Z89" s="30" t="str">
        <f>$Z$8</f>
        <v>R3</v>
      </c>
      <c r="AA89" s="31" t="str">
        <f ca="1">A86</f>
        <v>DR Congo</v>
      </c>
      <c r="AB89" s="52" t="e" cm="1" vm="42">
        <f t="array" aca="1" ref="AB89" ca="1">Ver_flag_local</f>
        <v>#VALUE!</v>
      </c>
      <c r="AC89" s="53"/>
      <c r="AD89" s="54"/>
      <c r="AE89" s="596" t="e" cm="1" vm="43">
        <f t="array" aca="1" ref="AE89" ca="1">Ver_flag_visit</f>
        <v>#VALUE!</v>
      </c>
      <c r="AF89" s="33" t="str">
        <f ca="1">A87</f>
        <v>Uzbekistan</v>
      </c>
      <c r="AG89" s="323">
        <f t="shared" si="266"/>
        <v>0</v>
      </c>
      <c r="AH89" s="195">
        <v>72</v>
      </c>
      <c r="AI89" s="181" t="str">
        <f t="shared" si="270"/>
        <v>4K</v>
      </c>
      <c r="AJ89" s="44">
        <v>4</v>
      </c>
      <c r="AK89" s="604" t="e" cm="1" vm="44">
        <f t="array" aca="1" ref="AK89" ca="1">Ver_flag_visit</f>
        <v>#VALUE!</v>
      </c>
      <c r="AL89" s="45" t="str">
        <f ca="1">IFERROR(INDEX($BD$6:$BD$53,MATCH(AI89,$BN$6:$BN$53,0)),"")</f>
        <v>Colombia</v>
      </c>
      <c r="AM89" s="46">
        <f t="shared" ca="1" si="269"/>
        <v>0</v>
      </c>
      <c r="AN89" s="47">
        <f t="shared" ca="1" si="269"/>
        <v>0</v>
      </c>
      <c r="AO89" s="47">
        <f t="shared" ca="1" si="269"/>
        <v>0</v>
      </c>
      <c r="AP89" s="47">
        <f t="shared" ca="1" si="269"/>
        <v>0</v>
      </c>
      <c r="AQ89" s="47">
        <f t="shared" ca="1" si="269"/>
        <v>0</v>
      </c>
      <c r="AR89" s="47">
        <f t="shared" ca="1" si="269"/>
        <v>0</v>
      </c>
      <c r="AS89" s="47">
        <f t="shared" ca="1" si="269"/>
        <v>0</v>
      </c>
      <c r="AT89" s="48">
        <f t="shared" ca="1" si="269"/>
        <v>0</v>
      </c>
      <c r="AU89" s="330">
        <f ca="1">INDEX($DL$6:$DL$53,MATCH(AI89,$DP$6:$DP$53,0))</f>
        <v>1</v>
      </c>
      <c r="AV89" s="182" t="str">
        <f ca="1">INDEX($BD$6:$BD$53,MATCH(AI89,$BM$6:$BM$53,0))</f>
        <v>Colombia</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Pendiente</v>
      </c>
      <c r="E92" s="16" t="str">
        <f t="shared" ref="E92:E97" si="272">IF(D92="Pendiente","-",INDEX($BT$6:$BT$53,MATCH($AA92,$BD$6:$BD$53,0)))</f>
        <v>-</v>
      </c>
      <c r="F92" s="16" t="str">
        <f t="shared" ref="F92:F97" si="273">IF(D92="Pendiente","-",INDEX($BT$6:$BT$53,MATCH($AF92,$BD$6:$BD$53,0)))</f>
        <v>-</v>
      </c>
      <c r="G92" s="16"/>
      <c r="H92" s="16" t="str">
        <f t="shared" ref="H92:H97" si="274">IF(D92="Pendiente","-",INDEX($BZ$6:$BZ$53,MATCH($AA92,$BD$6:$BD$53,0)))</f>
        <v>-</v>
      </c>
      <c r="I92" s="16" t="str">
        <f t="shared" ref="I92:I97" si="275">IF(D92="Pendiente","-",INDEX($BZ$6:$BZ$53,MATCH($AF92,$BD$6:$BD$53,0)))</f>
        <v>-</v>
      </c>
      <c r="J92" s="16"/>
      <c r="K92" s="16" t="str">
        <f t="shared" ref="K92:K97" si="276">IF(D92="Pendiente","-",INDEX($CE$6:$CE$53,MATCH($AA92,$BD$6:$BD$53,0)))</f>
        <v>-</v>
      </c>
      <c r="L92" s="16" t="str">
        <f t="shared" ref="L92:L97" si="277">IF(D92="Pendiente","-",INDEX($CE$6:$CE$53,MATCH($AF92,$BD$6:$BD$53,0)))</f>
        <v>-</v>
      </c>
      <c r="M92" s="16"/>
      <c r="N92" s="16" t="str">
        <f t="shared" ref="N92:N97" si="278">IF(D92="Pendiente","-",INDEX($CH$6:$CH$53,MATCH($AA92,$BD$6:$BD$53,0)))</f>
        <v>-</v>
      </c>
      <c r="O92" s="16" t="str">
        <f t="shared" ref="O92:O97" si="279">IF(D92="Pendiente","-",INDEX($CH$6:$CH$53,MATCH($AF92,$BD$6:$BD$53,0)))</f>
        <v>-</v>
      </c>
      <c r="P92" s="16"/>
      <c r="Q92" s="16" t="str">
        <f t="shared" ref="Q92:Q97" si="280">IF(D92="Pendiente","-",INDEX($CN$6:$CN$53,MATCH($AA92,$BD$6:$BD$53,0)))</f>
        <v>-</v>
      </c>
      <c r="R92" s="16" t="str">
        <f t="shared" ref="R92:R97" si="281">IF(D92="Pendiente","-",INDEX($CN$6:$CN$53,MATCH($AF92,$BD$6:$BD$53,0)))</f>
        <v>-</v>
      </c>
      <c r="S92" s="16"/>
      <c r="T92" s="16" t="str">
        <f t="shared" ref="T92:T97" si="282">IF(D92="Pendiente","-",INDEX($CS$6:$CS$53,MATCH($AA92,$BD$6:$BD$53,0)))</f>
        <v>-</v>
      </c>
      <c r="U92" s="16" t="str">
        <f t="shared" ref="U92:U97"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5">
        <f t="array" aca="1" ref="AB92" ca="1">Ver_flag_local</f>
        <v>#VALUE!</v>
      </c>
      <c r="AC92" s="50"/>
      <c r="AD92" s="51"/>
      <c r="AE92" s="595" t="e" cm="1" vm="46">
        <f t="array" aca="1" ref="AE92" ca="1">Ver_flag_visit</f>
        <v>#VALUE!</v>
      </c>
      <c r="AF92" s="32" t="str">
        <f ca="1">A94</f>
        <v>Croatia</v>
      </c>
      <c r="AG92" s="323">
        <f t="shared" ref="AG92:AG97" si="284">IF(NOT(OR(ISBLANK(AC92),ISBLANK(AD92))),1,0)</f>
        <v>0</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Pendiente</v>
      </c>
      <c r="E93" s="16" t="str">
        <f t="shared" si="272"/>
        <v>-</v>
      </c>
      <c r="F93" s="16" t="str">
        <f t="shared" si="273"/>
        <v>-</v>
      </c>
      <c r="G93" s="16"/>
      <c r="H93" s="16" t="str">
        <f t="shared" si="274"/>
        <v>-</v>
      </c>
      <c r="I93" s="16" t="str">
        <f t="shared" si="275"/>
        <v>-</v>
      </c>
      <c r="J93" s="16"/>
      <c r="K93" s="16" t="str">
        <f t="shared" si="276"/>
        <v>-</v>
      </c>
      <c r="L93" s="16" t="str">
        <f t="shared" si="277"/>
        <v>-</v>
      </c>
      <c r="M93" s="16"/>
      <c r="N93" s="16" t="str">
        <f t="shared" si="278"/>
        <v>-</v>
      </c>
      <c r="O93" s="16" t="str">
        <f t="shared" si="279"/>
        <v>-</v>
      </c>
      <c r="P93" s="16"/>
      <c r="Q93" s="16" t="str">
        <f t="shared" si="280"/>
        <v>-</v>
      </c>
      <c r="R93" s="16" t="str">
        <f t="shared" si="281"/>
        <v>-</v>
      </c>
      <c r="S93" s="16"/>
      <c r="T93" s="16" t="str">
        <f t="shared" si="282"/>
        <v>-</v>
      </c>
      <c r="U93" s="16" t="str">
        <f t="shared" si="283"/>
        <v>-</v>
      </c>
      <c r="V93" s="17"/>
      <c r="W93" s="669"/>
      <c r="X93" s="24">
        <f ca="1">Horarios!C93</f>
        <v>46191.041666666664</v>
      </c>
      <c r="Y93" s="25">
        <f ca="1">Horarios!C93</f>
        <v>46191.041666666664</v>
      </c>
      <c r="Z93" s="26" t="str">
        <f>$Z$4</f>
        <v>R1</v>
      </c>
      <c r="AA93" s="27" t="str">
        <f ca="1">A95</f>
        <v>Ghana</v>
      </c>
      <c r="AB93" s="49" t="e" cm="1" vm="47">
        <f t="array" aca="1" ref="AB93" ca="1">Ver_flag_local</f>
        <v>#VALUE!</v>
      </c>
      <c r="AC93" s="50"/>
      <c r="AD93" s="51"/>
      <c r="AE93" s="595" t="e" cm="1" vm="48">
        <f t="array" aca="1" ref="AE93" ca="1">Ver_flag_visit</f>
        <v>#VALUE!</v>
      </c>
      <c r="AF93" s="32" t="str">
        <f ca="1">A96</f>
        <v>Panama</v>
      </c>
      <c r="AG93" s="323">
        <f t="shared" si="284"/>
        <v>0</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Pendiente</v>
      </c>
      <c r="E94" s="16" t="str">
        <f t="shared" si="272"/>
        <v>-</v>
      </c>
      <c r="F94" s="16" t="str">
        <f t="shared" si="273"/>
        <v>-</v>
      </c>
      <c r="G94" s="16"/>
      <c r="H94" s="16" t="str">
        <f t="shared" si="274"/>
        <v>-</v>
      </c>
      <c r="I94" s="16" t="str">
        <f t="shared" si="275"/>
        <v>-</v>
      </c>
      <c r="J94" s="16"/>
      <c r="K94" s="16" t="str">
        <f t="shared" si="276"/>
        <v>-</v>
      </c>
      <c r="L94" s="16" t="str">
        <f t="shared" si="277"/>
        <v>-</v>
      </c>
      <c r="M94" s="16"/>
      <c r="N94" s="16" t="str">
        <f t="shared" si="278"/>
        <v>-</v>
      </c>
      <c r="O94" s="16" t="str">
        <f t="shared" si="279"/>
        <v>-</v>
      </c>
      <c r="P94" s="16"/>
      <c r="Q94" s="16" t="str">
        <f t="shared" si="280"/>
        <v>-</v>
      </c>
      <c r="R94" s="16" t="str">
        <f t="shared" si="281"/>
        <v>-</v>
      </c>
      <c r="S94" s="16"/>
      <c r="T94" s="16" t="str">
        <f t="shared" si="282"/>
        <v>-</v>
      </c>
      <c r="U94" s="16" t="str">
        <f t="shared" si="283"/>
        <v>-</v>
      </c>
      <c r="V94" s="17"/>
      <c r="W94" s="669"/>
      <c r="X94" s="24">
        <f ca="1">Horarios!C94</f>
        <v>46196.916666666664</v>
      </c>
      <c r="Y94" s="25">
        <f ca="1">Horarios!C94</f>
        <v>46196.916666666664</v>
      </c>
      <c r="Z94" s="26" t="str">
        <f>$Z$6</f>
        <v>R2</v>
      </c>
      <c r="AA94" s="27" t="str">
        <f ca="1">A93</f>
        <v>England</v>
      </c>
      <c r="AB94" s="49" t="e" cm="1" vm="45">
        <f t="array" aca="1" ref="AB94" ca="1">Ver_flag_local</f>
        <v>#VALUE!</v>
      </c>
      <c r="AC94" s="50"/>
      <c r="AD94" s="51"/>
      <c r="AE94" s="595" t="e" cm="1" vm="47">
        <f t="array" aca="1" ref="AE94" ca="1">Ver_flag_visit</f>
        <v>#VALUE!</v>
      </c>
      <c r="AF94" s="32" t="str">
        <f ca="1">A95</f>
        <v>Ghana</v>
      </c>
      <c r="AG94" s="323">
        <f t="shared" si="284"/>
        <v>0</v>
      </c>
      <c r="AH94" s="195">
        <v>45</v>
      </c>
      <c r="AI94" s="181" t="str">
        <f>AJ94&amp;$B$92</f>
        <v>1L</v>
      </c>
      <c r="AJ94" s="40">
        <v>1</v>
      </c>
      <c r="AK94" s="601" t="e" cm="1" vm="45">
        <f t="array" aca="1" ref="AK94" ca="1">Ver_flag_visit</f>
        <v>#VALUE!</v>
      </c>
      <c r="AL94" s="34" t="str">
        <f ca="1">IFERROR(INDEX($BD$6:$BD$53,MATCH(AI94,$BN$6:$BN$53,0)),"")</f>
        <v>England</v>
      </c>
      <c r="AM94" s="35">
        <f t="shared" ref="AM94:AT97" ca="1" si="287">INDEX($BE$6:$BN$53,MATCH($AL94,$BD$6:$BD$53,0),MATCH(AM$5,$BE$5:$BN$5,0))</f>
        <v>0</v>
      </c>
      <c r="AN94" s="36">
        <f t="shared" ca="1" si="287"/>
        <v>0</v>
      </c>
      <c r="AO94" s="36">
        <f t="shared" ca="1" si="287"/>
        <v>0</v>
      </c>
      <c r="AP94" s="36">
        <f t="shared" ca="1" si="287"/>
        <v>0</v>
      </c>
      <c r="AQ94" s="36">
        <f t="shared" ca="1" si="287"/>
        <v>0</v>
      </c>
      <c r="AR94" s="36">
        <f t="shared" ca="1" si="287"/>
        <v>0</v>
      </c>
      <c r="AS94" s="36">
        <f t="shared" ca="1" si="287"/>
        <v>0</v>
      </c>
      <c r="AT94" s="41">
        <f t="shared" ca="1" si="287"/>
        <v>0</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Pendiente</v>
      </c>
      <c r="E95" s="16" t="str">
        <f t="shared" si="272"/>
        <v>-</v>
      </c>
      <c r="F95" s="16" t="str">
        <f t="shared" si="273"/>
        <v>-</v>
      </c>
      <c r="G95" s="16"/>
      <c r="H95" s="16" t="str">
        <f t="shared" si="274"/>
        <v>-</v>
      </c>
      <c r="I95" s="16" t="str">
        <f t="shared" si="275"/>
        <v>-</v>
      </c>
      <c r="J95" s="16"/>
      <c r="K95" s="16" t="str">
        <f t="shared" si="276"/>
        <v>-</v>
      </c>
      <c r="L95" s="16" t="str">
        <f t="shared" si="277"/>
        <v>-</v>
      </c>
      <c r="M95" s="16"/>
      <c r="N95" s="16" t="str">
        <f t="shared" si="278"/>
        <v>-</v>
      </c>
      <c r="O95" s="16" t="str">
        <f t="shared" si="279"/>
        <v>-</v>
      </c>
      <c r="P95" s="16"/>
      <c r="Q95" s="16" t="str">
        <f t="shared" si="280"/>
        <v>-</v>
      </c>
      <c r="R95" s="16" t="str">
        <f t="shared" si="281"/>
        <v>-</v>
      </c>
      <c r="S95" s="16"/>
      <c r="T95" s="16" t="str">
        <f t="shared" si="282"/>
        <v>-</v>
      </c>
      <c r="U95" s="16" t="str">
        <f t="shared" si="283"/>
        <v>-</v>
      </c>
      <c r="V95" s="17"/>
      <c r="W95" s="669"/>
      <c r="X95" s="24">
        <f ca="1">Horarios!C95</f>
        <v>46197.041666666664</v>
      </c>
      <c r="Y95" s="25">
        <f ca="1">Horarios!C95</f>
        <v>46197.041666666664</v>
      </c>
      <c r="Z95" s="26" t="str">
        <f>$Z$6</f>
        <v>R2</v>
      </c>
      <c r="AA95" s="27" t="str">
        <f ca="1">A96</f>
        <v>Panama</v>
      </c>
      <c r="AB95" s="49" t="e" cm="1" vm="48">
        <f t="array" aca="1" ref="AB95" ca="1">Ver_flag_local</f>
        <v>#VALUE!</v>
      </c>
      <c r="AC95" s="50"/>
      <c r="AD95" s="51"/>
      <c r="AE95" s="595" t="e" cm="1" vm="46">
        <f t="array" aca="1" ref="AE95" ca="1">Ver_flag_visit</f>
        <v>#VALUE!</v>
      </c>
      <c r="AF95" s="32" t="str">
        <f ca="1">A94</f>
        <v>Croatia</v>
      </c>
      <c r="AG95" s="323">
        <f t="shared" si="284"/>
        <v>0</v>
      </c>
      <c r="AH95" s="195">
        <v>46</v>
      </c>
      <c r="AI95" s="181" t="str">
        <f t="shared" ref="AI95:AI97" si="288">AJ95&amp;$B$92</f>
        <v>2L</v>
      </c>
      <c r="AJ95" s="42">
        <v>2</v>
      </c>
      <c r="AK95" s="602" t="e" cm="1" vm="46">
        <f t="array" aca="1" ref="AK95" ca="1">Ver_flag_visit</f>
        <v>#VALUE!</v>
      </c>
      <c r="AL95" s="37" t="str">
        <f ca="1">IFERROR(INDEX($BD$6:$BD$53,MATCH(AI95,$BN$6:$BN$53,0)),"")</f>
        <v>Croatia</v>
      </c>
      <c r="AM95" s="38">
        <f t="shared" ca="1" si="287"/>
        <v>0</v>
      </c>
      <c r="AN95" s="39">
        <f t="shared" ca="1" si="287"/>
        <v>0</v>
      </c>
      <c r="AO95" s="39">
        <f t="shared" ca="1" si="287"/>
        <v>0</v>
      </c>
      <c r="AP95" s="39">
        <f t="shared" ca="1" si="287"/>
        <v>0</v>
      </c>
      <c r="AQ95" s="39">
        <f t="shared" ca="1" si="287"/>
        <v>0</v>
      </c>
      <c r="AR95" s="39">
        <f t="shared" ca="1" si="287"/>
        <v>0</v>
      </c>
      <c r="AS95" s="39">
        <f t="shared" ca="1" si="287"/>
        <v>0</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Pendiente</v>
      </c>
      <c r="E96" s="16" t="str">
        <f t="shared" si="272"/>
        <v>-</v>
      </c>
      <c r="F96" s="16" t="str">
        <f t="shared" si="273"/>
        <v>-</v>
      </c>
      <c r="G96" s="16"/>
      <c r="H96" s="16" t="str">
        <f t="shared" si="274"/>
        <v>-</v>
      </c>
      <c r="I96" s="16" t="str">
        <f t="shared" si="275"/>
        <v>-</v>
      </c>
      <c r="J96" s="16"/>
      <c r="K96" s="16" t="str">
        <f t="shared" si="276"/>
        <v>-</v>
      </c>
      <c r="L96" s="16" t="str">
        <f t="shared" si="277"/>
        <v>-</v>
      </c>
      <c r="M96" s="16"/>
      <c r="N96" s="16" t="str">
        <f t="shared" si="278"/>
        <v>-</v>
      </c>
      <c r="O96" s="16" t="str">
        <f t="shared" si="279"/>
        <v>-</v>
      </c>
      <c r="P96" s="16"/>
      <c r="Q96" s="16" t="str">
        <f t="shared" si="280"/>
        <v>-</v>
      </c>
      <c r="R96" s="16" t="str">
        <f t="shared" si="281"/>
        <v>-</v>
      </c>
      <c r="S96" s="16"/>
      <c r="T96" s="16" t="str">
        <f t="shared" si="282"/>
        <v>-</v>
      </c>
      <c r="U96" s="16" t="str">
        <f t="shared" si="283"/>
        <v>-</v>
      </c>
      <c r="V96" s="17"/>
      <c r="W96" s="669"/>
      <c r="X96" s="24">
        <f ca="1">Horarios!C96</f>
        <v>46200.958333333336</v>
      </c>
      <c r="Y96" s="25">
        <f ca="1">Horarios!C96</f>
        <v>46200.958333333336</v>
      </c>
      <c r="Z96" s="26" t="str">
        <f>$Z$8</f>
        <v>R3</v>
      </c>
      <c r="AA96" s="27" t="str">
        <f ca="1">A96</f>
        <v>Panama</v>
      </c>
      <c r="AB96" s="49" t="e" cm="1" vm="48">
        <f t="array" aca="1" ref="AB96" ca="1">Ver_flag_local</f>
        <v>#VALUE!</v>
      </c>
      <c r="AC96" s="50"/>
      <c r="AD96" s="51"/>
      <c r="AE96" s="595" t="e" cm="1" vm="45">
        <f t="array" aca="1" ref="AE96" ca="1">Ver_flag_visit</f>
        <v>#VALUE!</v>
      </c>
      <c r="AF96" s="32" t="str">
        <f ca="1">A93</f>
        <v>England</v>
      </c>
      <c r="AG96" s="323">
        <f t="shared" si="284"/>
        <v>0</v>
      </c>
      <c r="AH96" s="195">
        <v>67</v>
      </c>
      <c r="AI96" s="181" t="str">
        <f t="shared" si="288"/>
        <v>3L</v>
      </c>
      <c r="AJ96" s="42">
        <v>3</v>
      </c>
      <c r="AK96" s="602" t="e" cm="1" vm="47">
        <f t="array" aca="1" ref="AK96" ca="1">Ver_flag_visit</f>
        <v>#VALUE!</v>
      </c>
      <c r="AL96" s="37" t="str">
        <f ca="1">IFERROR(INDEX($BD$6:$BD$53,MATCH(AI96,$BN$6:$BN$53,0)),"")</f>
        <v>Ghana</v>
      </c>
      <c r="AM96" s="38">
        <f t="shared" ca="1" si="287"/>
        <v>0</v>
      </c>
      <c r="AN96" s="39">
        <f t="shared" ca="1" si="287"/>
        <v>0</v>
      </c>
      <c r="AO96" s="39">
        <f t="shared" ca="1" si="287"/>
        <v>0</v>
      </c>
      <c r="AP96" s="39">
        <f t="shared" ca="1" si="287"/>
        <v>0</v>
      </c>
      <c r="AQ96" s="39">
        <f t="shared" ca="1" si="287"/>
        <v>0</v>
      </c>
      <c r="AR96" s="39">
        <f t="shared" ca="1" si="287"/>
        <v>0</v>
      </c>
      <c r="AS96" s="39">
        <f t="shared" ca="1" si="287"/>
        <v>0</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Pendiente</v>
      </c>
      <c r="E97" s="16" t="str">
        <f t="shared" si="272"/>
        <v>-</v>
      </c>
      <c r="F97" s="16" t="str">
        <f t="shared" si="273"/>
        <v>-</v>
      </c>
      <c r="G97" s="16"/>
      <c r="H97" s="16" t="str">
        <f t="shared" si="274"/>
        <v>-</v>
      </c>
      <c r="I97" s="16" t="str">
        <f t="shared" si="275"/>
        <v>-</v>
      </c>
      <c r="J97" s="16"/>
      <c r="K97" s="16" t="str">
        <f t="shared" si="276"/>
        <v>-</v>
      </c>
      <c r="L97" s="16" t="str">
        <f t="shared" si="277"/>
        <v>-</v>
      </c>
      <c r="M97" s="16"/>
      <c r="N97" s="16" t="str">
        <f t="shared" si="278"/>
        <v>-</v>
      </c>
      <c r="O97" s="16" t="str">
        <f t="shared" si="279"/>
        <v>-</v>
      </c>
      <c r="P97" s="16"/>
      <c r="Q97" s="16" t="str">
        <f t="shared" si="280"/>
        <v>-</v>
      </c>
      <c r="R97" s="16" t="str">
        <f t="shared" si="281"/>
        <v>-</v>
      </c>
      <c r="S97" s="16"/>
      <c r="T97" s="16" t="str">
        <f t="shared" si="282"/>
        <v>-</v>
      </c>
      <c r="U97" s="16" t="str">
        <f t="shared" si="283"/>
        <v>-</v>
      </c>
      <c r="V97" s="17"/>
      <c r="W97" s="670"/>
      <c r="X97" s="28">
        <f ca="1">Horarios!C97</f>
        <v>46200.958333333336</v>
      </c>
      <c r="Y97" s="29">
        <f ca="1">Horarios!C97</f>
        <v>46200.958333333336</v>
      </c>
      <c r="Z97" s="30" t="str">
        <f>$Z$8</f>
        <v>R3</v>
      </c>
      <c r="AA97" s="31" t="str">
        <f ca="1">A94</f>
        <v>Croatia</v>
      </c>
      <c r="AB97" s="52" t="e" cm="1" vm="46">
        <f t="array" aca="1" ref="AB97" ca="1">Ver_flag_local</f>
        <v>#VALUE!</v>
      </c>
      <c r="AC97" s="53"/>
      <c r="AD97" s="54"/>
      <c r="AE97" s="596" t="e" cm="1" vm="47">
        <f t="array" aca="1" ref="AE97" ca="1">Ver_flag_visit</f>
        <v>#VALUE!</v>
      </c>
      <c r="AF97" s="33" t="str">
        <f ca="1">A95</f>
        <v>Ghana</v>
      </c>
      <c r="AG97" s="323">
        <f t="shared" si="284"/>
        <v>0</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0</v>
      </c>
      <c r="AO97" s="47">
        <f t="shared" ca="1" si="287"/>
        <v>0</v>
      </c>
      <c r="AP97" s="47">
        <f t="shared" ca="1" si="287"/>
        <v>0</v>
      </c>
      <c r="AQ97" s="47">
        <f t="shared" ca="1" si="287"/>
        <v>0</v>
      </c>
      <c r="AR97" s="47">
        <f t="shared" ca="1" si="287"/>
        <v>0</v>
      </c>
      <c r="AS97" s="47">
        <f t="shared" ca="1" si="287"/>
        <v>0</v>
      </c>
      <c r="AT97" s="48">
        <f t="shared" ca="1" si="287"/>
        <v>0</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The ranking of the best third places appears at the end of J1</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si="289">IF(AND(OR(AC101="",AD101="")),"W"&amp;AH101,IF(AC101&gt;AD101,AA101,IF(AC101&lt;AD101,AF101,IF(AND(AC101=AD101,AB101=AE101),"W"&amp;AH101,IF(AND(AC101=AD101,OR(AB101="",AE101="")),"W"&amp;AH101,IF(AND(AC101=AD101,AB101&gt;AE101),AA101,AF101))))))</f>
        <v>W73</v>
      </c>
      <c r="E101" s="16" t="s">
        <v>0</v>
      </c>
      <c r="F101" s="16" t="s">
        <v>1</v>
      </c>
      <c r="G101" s="16" t="s">
        <v>0</v>
      </c>
      <c r="H101" s="16">
        <f t="shared" ref="H101:H112" ca="1" si="290">+SUMIF($BC$6:$BC$53,G101,$BF$6:$BF$53)</f>
        <v>0</v>
      </c>
      <c r="I101" s="16"/>
      <c r="J101" s="16">
        <v>73</v>
      </c>
      <c r="K101" s="16">
        <v>46201.75</v>
      </c>
      <c r="L101" s="16" t="s">
        <v>697</v>
      </c>
      <c r="M101" s="16" t="str">
        <f t="shared" ref="M101:M116" ca="1" si="291">+IF(OR(INDEX($H$101:$H$113,MATCH(E101,$G$101:$G$113,0))=12,$AJ$99=144),INDEX($AL$6:$AL$97,MATCH(A101,$AI$6:$AI$97,0)),A101)</f>
        <v>2A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2B</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2A</v>
      </c>
      <c r="AB101" s="89"/>
      <c r="AC101" s="51"/>
      <c r="AD101" s="51"/>
      <c r="AE101" s="90"/>
      <c r="AF101" s="91" t="str">
        <f t="shared" ref="AF101:AF116" ca="1" si="293">+INDEX($N$101:$N$147,MATCH(AH101,$J$101:$J$147,0))</f>
        <v>2B</v>
      </c>
      <c r="AG101" s="327">
        <f t="shared" ref="AG101:AG116" si="294">IF(D101="W"&amp;AH101,0,1)</f>
        <v>0</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c>
      <c r="AZ101" s="336" t="str">
        <f ca="1">+IF(OR($H$113&gt;=48,$AJ$99=144),BI112,"")</f>
        <v/>
      </c>
      <c r="BA101" s="176"/>
    </row>
    <row r="102" spans="1:62" ht="15.95" customHeight="1">
      <c r="A102" s="16" t="s">
        <v>673</v>
      </c>
      <c r="B102" s="16" t="s">
        <v>734</v>
      </c>
      <c r="C102" s="16"/>
      <c r="D102" s="16" t="str">
        <f t="shared" si="289"/>
        <v>W76</v>
      </c>
      <c r="E102" s="16" t="s">
        <v>3</v>
      </c>
      <c r="F102" s="16" t="s">
        <v>733</v>
      </c>
      <c r="G102" s="16" t="s">
        <v>1</v>
      </c>
      <c r="H102" s="16">
        <f t="shared" ca="1" si="290"/>
        <v>0</v>
      </c>
      <c r="I102" s="16"/>
      <c r="J102" s="16">
        <v>74</v>
      </c>
      <c r="K102" s="16">
        <v>46202.75</v>
      </c>
      <c r="L102" s="16" t="s">
        <v>698</v>
      </c>
      <c r="M102" s="16" t="str">
        <f t="shared" ca="1" si="291"/>
        <v>1E</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3ABCDF</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1C</v>
      </c>
      <c r="AB102" s="89"/>
      <c r="AC102" s="92"/>
      <c r="AD102" s="92"/>
      <c r="AE102" s="89"/>
      <c r="AF102" s="91" t="str">
        <f t="shared" ca="1" si="293"/>
        <v>2F</v>
      </c>
      <c r="AG102" s="327">
        <f t="shared" si="294"/>
        <v>0</v>
      </c>
      <c r="AH102" s="195">
        <v>76</v>
      </c>
      <c r="AI102" s="182">
        <v>1</v>
      </c>
      <c r="AJ102" s="80">
        <v>1</v>
      </c>
      <c r="AK102" s="605" t="str" cm="1">
        <f t="array" aca="1" ref="AK102" ca="1">Ver_flag_visit</f>
        <v/>
      </c>
      <c r="AL102" s="81" t="str">
        <f t="shared" ref="AL102:AL113" ca="1" si="297">+IF($H$113&gt;=48,INDEX($BD$58:$BD$69,MATCH(AI102,$BN$58:$BN$69,0)),BB58)</f>
        <v>3A</v>
      </c>
      <c r="AM102" s="588" t="str">
        <f ca="1">+IF($H$113&gt;=48,INDEX($BE$58:$BN$69,MATCH($AL102,$BD$58:$BD$69,0),MATCH(AM$5,$BE$57:$BN$57,0)),$BB58)</f>
        <v>3A</v>
      </c>
      <c r="AN102" s="82" t="str">
        <f ca="1">+IF($H$113&gt;=48,INDEX($BE$58:$BN$69,MATCH($AL102,$BD$58:$BD$69,0),MATCH(AN$5,$BE$57:$BN$57,0)),$BB58)</f>
        <v>3A</v>
      </c>
      <c r="AO102" s="82" t="str">
        <f t="shared" ref="AO102:AT102" ca="1" si="298">+IF($H$113&gt;=48,INDEX($BE$58:$BN$69,MATCH($AL102,$BD$58:$BD$69,0),MATCH(AO$5,$BE$57:$BN$57,0)),$BB58)</f>
        <v>3A</v>
      </c>
      <c r="AP102" s="82" t="str">
        <f t="shared" ca="1" si="298"/>
        <v>3A</v>
      </c>
      <c r="AQ102" s="83" t="str">
        <f t="shared" ca="1" si="298"/>
        <v>3A</v>
      </c>
      <c r="AR102" s="83" t="str">
        <f t="shared" ca="1" si="298"/>
        <v>3A</v>
      </c>
      <c r="AS102" s="83" t="str">
        <f t="shared" ca="1" si="298"/>
        <v>3A</v>
      </c>
      <c r="AT102" s="84" t="str">
        <f t="shared" ca="1" si="298"/>
        <v>3A</v>
      </c>
      <c r="AU102" s="330" t="str">
        <f t="shared" ref="AU102:AU113" ca="1" si="299">IF($H$113=144,INDEX($DL$58:$DL$69,MATCH(AI102,$DP$58:$DP$69,0)),"")</f>
        <v/>
      </c>
      <c r="AV102" s="182" t="str">
        <f t="shared" ref="AV102:AV113" ca="1" si="300">INDEX($BD$58:$BD$69,MATCH(AI102,$BM$58:$BM$69,0))</f>
        <v>Australia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si="289"/>
        <v>W74</v>
      </c>
      <c r="E103" s="16" t="s">
        <v>4</v>
      </c>
      <c r="F103" s="16" t="s">
        <v>2</v>
      </c>
      <c r="G103" s="16" t="s">
        <v>2</v>
      </c>
      <c r="H103" s="16">
        <f t="shared" ca="1" si="290"/>
        <v>0</v>
      </c>
      <c r="I103" s="16"/>
      <c r="J103" s="16">
        <v>75</v>
      </c>
      <c r="K103" s="16">
        <v>46202.75</v>
      </c>
      <c r="L103" s="16" t="s">
        <v>699</v>
      </c>
      <c r="M103" s="16" t="str">
        <f t="shared" ca="1" si="291"/>
        <v>1F</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2C</v>
      </c>
      <c r="O103" s="16"/>
      <c r="P103" s="16"/>
      <c r="Q103" s="16"/>
      <c r="R103" s="16"/>
      <c r="S103" s="16"/>
      <c r="T103" s="16"/>
      <c r="U103" s="16"/>
      <c r="V103" s="17"/>
      <c r="W103" s="675"/>
      <c r="X103" s="24">
        <f ca="1">Horarios!C103</f>
        <v>46202.9375</v>
      </c>
      <c r="Y103" s="25">
        <f ca="1">Horarios!C103</f>
        <v>46202.9375</v>
      </c>
      <c r="Z103" s="280">
        <f t="shared" si="296"/>
        <v>74</v>
      </c>
      <c r="AA103" s="88" t="str">
        <f t="shared" ca="1" si="292"/>
        <v>1E</v>
      </c>
      <c r="AB103" s="89"/>
      <c r="AC103" s="92"/>
      <c r="AD103" s="92"/>
      <c r="AE103" s="89"/>
      <c r="AF103" s="91" t="str">
        <f t="shared" ca="1" si="293"/>
        <v>3ABCDF</v>
      </c>
      <c r="AG103" s="327">
        <f t="shared" si="294"/>
        <v>0</v>
      </c>
      <c r="AH103" s="195">
        <v>74</v>
      </c>
      <c r="AI103" s="182">
        <v>2</v>
      </c>
      <c r="AJ103" s="42">
        <v>2</v>
      </c>
      <c r="AK103" s="602" t="str" cm="1">
        <f t="array" aca="1" ref="AK103" ca="1">Ver_flag_visit</f>
        <v/>
      </c>
      <c r="AL103" s="85" t="str">
        <f t="shared" ca="1" si="297"/>
        <v>3B</v>
      </c>
      <c r="AM103" s="589" t="str">
        <f t="shared" ref="AM103:AM113" ca="1" si="301">+IF($H$113&gt;=48,INDEX($BE$58:$BN$69,MATCH($AL103,$BD$58:$BD$69,0),MATCH(AM$5,$BE$57:$BN$57,0)),$BB59)</f>
        <v>3B</v>
      </c>
      <c r="AN103" s="86" t="str">
        <f t="shared" ref="AN103:AT103" ca="1" si="302">+IF($H$113&gt;=48,INDEX($BE$58:$BN$69,MATCH($AL103,$BD$58:$BD$69,0),MATCH(AN$5,$BE$57:$BN$57,0)),$BB59)</f>
        <v>3B</v>
      </c>
      <c r="AO103" s="86" t="str">
        <f t="shared" ca="1" si="302"/>
        <v>3B</v>
      </c>
      <c r="AP103" s="86" t="str">
        <f t="shared" ca="1" si="302"/>
        <v>3B</v>
      </c>
      <c r="AQ103" s="86" t="str">
        <f t="shared" ca="1" si="302"/>
        <v>3B</v>
      </c>
      <c r="AR103" s="86" t="str">
        <f t="shared" ca="1" si="302"/>
        <v>3B</v>
      </c>
      <c r="AS103" s="86" t="str">
        <f t="shared" ca="1" si="302"/>
        <v>3B</v>
      </c>
      <c r="AT103" s="87" t="str">
        <f t="shared" ca="1" si="302"/>
        <v>3B</v>
      </c>
      <c r="AU103" s="330" t="str">
        <f t="shared" ca="1" si="299"/>
        <v/>
      </c>
      <c r="AV103" s="182" t="str">
        <f t="shared" ca="1" si="300"/>
        <v>Austria</v>
      </c>
      <c r="AW103" s="215"/>
      <c r="AX103" s="170"/>
      <c r="AY103" s="276"/>
      <c r="AZ103" s="279" t="str">
        <f t="shared" ref="AZ103:AZ110" ca="1" si="303">+IF(OR($H$113&gt;=48,$AJ$99=144),BF117&amp;" - "&amp;BG117,"")</f>
        <v/>
      </c>
      <c r="BA103" s="176"/>
      <c r="BF103" t="str">
        <f t="shared" ref="BF103:BF110" ca="1" si="304">IFERROR(INDEX($BC$6:$BC$53,MATCH(AL102,$BD$6:$BD$53,0)),"")</f>
        <v/>
      </c>
      <c r="BG103">
        <f t="shared" ref="BG103:BG110" ca="1" si="305">COUNTIF($BF$103:$BF$110,"&lt;="&amp;BF103)</f>
        <v>0</v>
      </c>
      <c r="BI103">
        <v>1</v>
      </c>
      <c r="BJ103" t="str">
        <f t="shared" ref="BJ103:BJ110" ca="1" si="306">IFERROR(INDEX($BF$103:$BF$110,MATCH(BI103,$BG$103:$BG$110,0)),"Grupo")</f>
        <v>Grupo</v>
      </c>
    </row>
    <row r="104" spans="1:62" ht="15.95" customHeight="1">
      <c r="A104" s="16" t="s">
        <v>663</v>
      </c>
      <c r="B104" s="16" t="s">
        <v>677</v>
      </c>
      <c r="C104" s="16"/>
      <c r="D104" s="16" t="str">
        <f t="shared" si="289"/>
        <v>W75</v>
      </c>
      <c r="E104" s="16" t="s">
        <v>2</v>
      </c>
      <c r="F104" s="16" t="s">
        <v>4</v>
      </c>
      <c r="G104" s="16" t="s">
        <v>74</v>
      </c>
      <c r="H104" s="16">
        <f t="shared" ca="1" si="290"/>
        <v>0</v>
      </c>
      <c r="I104" s="16"/>
      <c r="J104" s="16">
        <v>76</v>
      </c>
      <c r="K104" s="16">
        <v>46202.75</v>
      </c>
      <c r="L104" s="16" t="s">
        <v>700</v>
      </c>
      <c r="M104" s="16" t="str">
        <f t="shared" ca="1" si="291"/>
        <v>1C</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2F</v>
      </c>
      <c r="O104" s="16"/>
      <c r="P104" s="16"/>
      <c r="Q104" s="16"/>
      <c r="R104" s="16"/>
      <c r="S104" s="16"/>
      <c r="T104" s="16"/>
      <c r="U104" s="16"/>
      <c r="V104" s="17"/>
      <c r="W104" s="675"/>
      <c r="X104" s="24">
        <f ca="1">Horarios!C104</f>
        <v>46203.125</v>
      </c>
      <c r="Y104" s="25">
        <f ca="1">Horarios!C104</f>
        <v>46203.125</v>
      </c>
      <c r="Z104" s="280">
        <f t="shared" si="296"/>
        <v>75</v>
      </c>
      <c r="AA104" s="88" t="str">
        <f t="shared" ca="1" si="292"/>
        <v>1F</v>
      </c>
      <c r="AB104" s="89"/>
      <c r="AC104" s="92"/>
      <c r="AD104" s="92"/>
      <c r="AE104" s="89"/>
      <c r="AF104" s="91" t="str">
        <f t="shared" ca="1" si="293"/>
        <v>2C</v>
      </c>
      <c r="AG104" s="327">
        <f t="shared" si="294"/>
        <v>0</v>
      </c>
      <c r="AH104" s="195">
        <v>75</v>
      </c>
      <c r="AI104" s="182">
        <v>3</v>
      </c>
      <c r="AJ104" s="42">
        <v>3</v>
      </c>
      <c r="AK104" s="602" t="str" cm="1">
        <f t="array" aca="1" ref="AK104" ca="1">Ver_flag_visit</f>
        <v/>
      </c>
      <c r="AL104" s="85" t="str">
        <f t="shared" ca="1" si="297"/>
        <v>3C</v>
      </c>
      <c r="AM104" s="589" t="str">
        <f t="shared" ca="1" si="301"/>
        <v>3C</v>
      </c>
      <c r="AN104" s="86" t="str">
        <f t="shared" ref="AN104:AT104" ca="1" si="307">+IF($H$113&gt;=48,INDEX($BE$58:$BN$69,MATCH($AL104,$BD$58:$BD$69,0),MATCH(AN$5,$BE$57:$BN$57,0)),$BB60)</f>
        <v>3C</v>
      </c>
      <c r="AO104" s="86" t="str">
        <f t="shared" ca="1" si="307"/>
        <v>3C</v>
      </c>
      <c r="AP104" s="86" t="str">
        <f t="shared" ca="1" si="307"/>
        <v>3C</v>
      </c>
      <c r="AQ104" s="86" t="str">
        <f t="shared" ca="1" si="307"/>
        <v>3C</v>
      </c>
      <c r="AR104" s="86" t="str">
        <f t="shared" ca="1" si="307"/>
        <v>3C</v>
      </c>
      <c r="AS104" s="86" t="str">
        <f t="shared" ca="1" si="307"/>
        <v>3C</v>
      </c>
      <c r="AT104" s="87" t="str">
        <f t="shared" ca="1" si="307"/>
        <v>3C</v>
      </c>
      <c r="AU104" s="330" t="str">
        <f t="shared" ca="1" si="299"/>
        <v/>
      </c>
      <c r="AV104" s="182" t="str">
        <f t="shared" ca="1" si="300"/>
        <v>Ghana</v>
      </c>
      <c r="AW104" s="215"/>
      <c r="AX104" s="170"/>
      <c r="AY104" s="276"/>
      <c r="AZ104" s="279" t="str">
        <f t="shared" ca="1" si="303"/>
        <v/>
      </c>
      <c r="BA104" s="176"/>
      <c r="BF104" t="str">
        <f t="shared" ca="1" si="304"/>
        <v/>
      </c>
      <c r="BG104">
        <f t="shared" ca="1" si="305"/>
        <v>0</v>
      </c>
      <c r="BI104">
        <v>2</v>
      </c>
      <c r="BJ104" t="str">
        <f t="shared" ca="1" si="306"/>
        <v>Grupo</v>
      </c>
    </row>
    <row r="105" spans="1:62" ht="15.95" customHeight="1">
      <c r="A105" s="16" t="s">
        <v>685</v>
      </c>
      <c r="B105" s="16" t="s">
        <v>735</v>
      </c>
      <c r="C105" s="16"/>
      <c r="D105" s="16" t="str">
        <f t="shared" si="289"/>
        <v>W78</v>
      </c>
      <c r="E105" s="16" t="s">
        <v>448</v>
      </c>
      <c r="F105" s="16" t="s">
        <v>733</v>
      </c>
      <c r="G105" s="16" t="s">
        <v>3</v>
      </c>
      <c r="H105" s="16">
        <f t="shared" ca="1" si="290"/>
        <v>0</v>
      </c>
      <c r="I105" s="16"/>
      <c r="J105" s="16">
        <v>77</v>
      </c>
      <c r="K105" s="16">
        <v>46203.75</v>
      </c>
      <c r="L105" s="16" t="s">
        <v>701</v>
      </c>
      <c r="M105" s="16" t="str">
        <f t="shared" ca="1" si="291"/>
        <v>1I</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3CDFGH</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2E</v>
      </c>
      <c r="AB105" s="89"/>
      <c r="AC105" s="92"/>
      <c r="AD105" s="92"/>
      <c r="AE105" s="89"/>
      <c r="AF105" s="91" t="str">
        <f t="shared" ca="1" si="293"/>
        <v>2I</v>
      </c>
      <c r="AG105" s="327">
        <f t="shared" si="294"/>
        <v>0</v>
      </c>
      <c r="AH105" s="195">
        <v>78</v>
      </c>
      <c r="AI105" s="182">
        <v>4</v>
      </c>
      <c r="AJ105" s="42">
        <v>4</v>
      </c>
      <c r="AK105" s="602" t="str" cm="1">
        <f t="array" aca="1" ref="AK105" ca="1">Ver_flag_visit</f>
        <v/>
      </c>
      <c r="AL105" s="85" t="str">
        <f t="shared" ca="1" si="297"/>
        <v>3D</v>
      </c>
      <c r="AM105" s="589" t="str">
        <f t="shared" ca="1" si="301"/>
        <v>3D</v>
      </c>
      <c r="AN105" s="86" t="str">
        <f t="shared" ref="AN105:AT105" ca="1" si="308">+IF($H$113&gt;=48,INDEX($BE$58:$BN$69,MATCH($AL105,$BD$58:$BD$69,0),MATCH(AN$5,$BE$57:$BN$57,0)),$BB61)</f>
        <v>3D</v>
      </c>
      <c r="AO105" s="86" t="str">
        <f t="shared" ca="1" si="308"/>
        <v>3D</v>
      </c>
      <c r="AP105" s="86" t="str">
        <f t="shared" ca="1" si="308"/>
        <v>3D</v>
      </c>
      <c r="AQ105" s="86" t="str">
        <f t="shared" ca="1" si="308"/>
        <v>3D</v>
      </c>
      <c r="AR105" s="86" t="str">
        <f t="shared" ca="1" si="308"/>
        <v>3D</v>
      </c>
      <c r="AS105" s="86" t="str">
        <f t="shared" ca="1" si="308"/>
        <v>3D</v>
      </c>
      <c r="AT105" s="87" t="str">
        <f t="shared" ca="1" si="308"/>
        <v>3D</v>
      </c>
      <c r="AU105" s="330" t="str">
        <f t="shared" ca="1" si="299"/>
        <v/>
      </c>
      <c r="AV105" s="182" t="str">
        <f t="shared" ca="1" si="300"/>
        <v>Haiti</v>
      </c>
      <c r="AW105" s="215"/>
      <c r="AX105" s="170"/>
      <c r="AY105" s="276"/>
      <c r="AZ105" s="279" t="str">
        <f t="shared" ca="1" si="303"/>
        <v/>
      </c>
      <c r="BA105" s="176"/>
      <c r="BF105" t="str">
        <f t="shared" ca="1" si="304"/>
        <v/>
      </c>
      <c r="BG105">
        <f t="shared" ca="1" si="305"/>
        <v>0</v>
      </c>
      <c r="BI105">
        <v>3</v>
      </c>
      <c r="BJ105" t="str">
        <f t="shared" ca="1" si="306"/>
        <v>Grupo</v>
      </c>
    </row>
    <row r="106" spans="1:62" ht="15.95" customHeight="1">
      <c r="A106" s="16" t="s">
        <v>674</v>
      </c>
      <c r="B106" s="16" t="s">
        <v>686</v>
      </c>
      <c r="C106" s="16"/>
      <c r="D106" s="16" t="str">
        <f t="shared" si="289"/>
        <v>W77</v>
      </c>
      <c r="E106" s="16" t="s">
        <v>3</v>
      </c>
      <c r="F106" s="16" t="s">
        <v>448</v>
      </c>
      <c r="G106" s="16" t="s">
        <v>4</v>
      </c>
      <c r="H106" s="16">
        <f t="shared" ca="1" si="290"/>
        <v>0</v>
      </c>
      <c r="I106" s="16"/>
      <c r="J106" s="16">
        <v>78</v>
      </c>
      <c r="K106" s="16">
        <v>46203.75</v>
      </c>
      <c r="L106" s="16" t="s">
        <v>702</v>
      </c>
      <c r="M106" s="16" t="str">
        <f t="shared" ca="1" si="291"/>
        <v>2E</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2I</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1I</v>
      </c>
      <c r="AB106" s="89"/>
      <c r="AC106" s="92"/>
      <c r="AD106" s="92"/>
      <c r="AE106" s="89"/>
      <c r="AF106" s="91" t="str">
        <f t="shared" ca="1" si="293"/>
        <v>3CDFGH</v>
      </c>
      <c r="AG106" s="327">
        <f t="shared" si="294"/>
        <v>0</v>
      </c>
      <c r="AH106" s="195">
        <v>77</v>
      </c>
      <c r="AI106" s="182">
        <v>5</v>
      </c>
      <c r="AJ106" s="42">
        <v>5</v>
      </c>
      <c r="AK106" s="602" t="str" cm="1">
        <f t="array" aca="1" ref="AK106" ca="1">Ver_flag_visit</f>
        <v/>
      </c>
      <c r="AL106" s="85" t="str">
        <f t="shared" ca="1" si="297"/>
        <v>3E</v>
      </c>
      <c r="AM106" s="589" t="str">
        <f t="shared" ca="1" si="301"/>
        <v>3E</v>
      </c>
      <c r="AN106" s="86" t="str">
        <f t="shared" ref="AN106:AT106" ca="1" si="309">+IF($H$113&gt;=48,INDEX($BE$58:$BN$69,MATCH($AL106,$BD$58:$BD$69,0),MATCH(AN$5,$BE$57:$BN$57,0)),$BB62)</f>
        <v>3E</v>
      </c>
      <c r="AO106" s="86" t="str">
        <f t="shared" ca="1" si="309"/>
        <v>3E</v>
      </c>
      <c r="AP106" s="86" t="str">
        <f t="shared" ca="1" si="309"/>
        <v>3E</v>
      </c>
      <c r="AQ106" s="86" t="str">
        <f t="shared" ca="1" si="309"/>
        <v>3E</v>
      </c>
      <c r="AR106" s="86" t="str">
        <f t="shared" ca="1" si="309"/>
        <v>3E</v>
      </c>
      <c r="AS106" s="86" t="str">
        <f t="shared" ca="1" si="309"/>
        <v>3E</v>
      </c>
      <c r="AT106" s="87" t="str">
        <f t="shared" ca="1" si="309"/>
        <v>3E</v>
      </c>
      <c r="AU106" s="330" t="str">
        <f t="shared" ca="1" si="299"/>
        <v/>
      </c>
      <c r="AV106" s="182" t="str">
        <f t="shared" ca="1" si="300"/>
        <v>Iran</v>
      </c>
      <c r="AW106" s="215"/>
      <c r="AX106" s="170"/>
      <c r="AY106" s="276"/>
      <c r="AZ106" s="279" t="str">
        <f t="shared" ca="1" si="303"/>
        <v/>
      </c>
      <c r="BA106" s="176"/>
      <c r="BF106" t="str">
        <f t="shared" ca="1" si="304"/>
        <v/>
      </c>
      <c r="BG106">
        <f t="shared" ca="1" si="305"/>
        <v>0</v>
      </c>
      <c r="BI106">
        <v>4</v>
      </c>
      <c r="BJ106" t="str">
        <f t="shared" ca="1" si="306"/>
        <v>Grupo</v>
      </c>
    </row>
    <row r="107" spans="1:62" ht="15.95" customHeight="1">
      <c r="A107" s="16" t="s">
        <v>657</v>
      </c>
      <c r="B107" s="16" t="s">
        <v>736</v>
      </c>
      <c r="C107" s="16"/>
      <c r="D107" s="16" t="str">
        <f t="shared" si="289"/>
        <v>W79</v>
      </c>
      <c r="E107" s="16" t="s">
        <v>0</v>
      </c>
      <c r="F107" s="16" t="s">
        <v>733</v>
      </c>
      <c r="G107" s="16" t="s">
        <v>6</v>
      </c>
      <c r="H107" s="16">
        <f t="shared" ca="1" si="290"/>
        <v>0</v>
      </c>
      <c r="I107" s="16"/>
      <c r="J107" s="16">
        <v>79</v>
      </c>
      <c r="K107" s="16">
        <v>46203.75</v>
      </c>
      <c r="L107" s="16" t="s">
        <v>703</v>
      </c>
      <c r="M107" s="16" t="str">
        <f t="shared" ca="1" si="291"/>
        <v>1A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3CEFHI</v>
      </c>
      <c r="O107" s="16"/>
      <c r="P107" s="16"/>
      <c r="Q107" s="16"/>
      <c r="R107" s="16"/>
      <c r="S107" s="16"/>
      <c r="T107" s="16"/>
      <c r="U107" s="16"/>
      <c r="V107" s="17"/>
      <c r="W107" s="675"/>
      <c r="X107" s="24">
        <f ca="1">Horarios!C107</f>
        <v>46204.125</v>
      </c>
      <c r="Y107" s="25">
        <f ca="1">Horarios!C107</f>
        <v>46204.125</v>
      </c>
      <c r="Z107" s="280">
        <f t="shared" si="296"/>
        <v>79</v>
      </c>
      <c r="AA107" s="88" t="str">
        <f t="shared" ca="1" si="292"/>
        <v>1A</v>
      </c>
      <c r="AB107" s="89"/>
      <c r="AC107" s="92"/>
      <c r="AD107" s="92"/>
      <c r="AE107" s="89"/>
      <c r="AF107" s="91" t="str">
        <f t="shared" ca="1" si="293"/>
        <v>3CEFHI</v>
      </c>
      <c r="AG107" s="327">
        <f t="shared" si="294"/>
        <v>0</v>
      </c>
      <c r="AH107" s="195">
        <v>79</v>
      </c>
      <c r="AI107" s="182">
        <v>6</v>
      </c>
      <c r="AJ107" s="42">
        <v>6</v>
      </c>
      <c r="AK107" s="602" t="str" cm="1">
        <f t="array" aca="1" ref="AK107" ca="1">Ver_flag_visit</f>
        <v/>
      </c>
      <c r="AL107" s="85" t="str">
        <f t="shared" ca="1" si="297"/>
        <v>3F</v>
      </c>
      <c r="AM107" s="589" t="str">
        <f t="shared" ca="1" si="301"/>
        <v>3F</v>
      </c>
      <c r="AN107" s="86" t="str">
        <f t="shared" ref="AN107:AT107" ca="1" si="310">+IF($H$113&gt;=48,INDEX($BE$58:$BN$69,MATCH($AL107,$BD$58:$BD$69,0),MATCH(AN$5,$BE$57:$BN$57,0)),$BB63)</f>
        <v>3F</v>
      </c>
      <c r="AO107" s="86" t="str">
        <f t="shared" ca="1" si="310"/>
        <v>3F</v>
      </c>
      <c r="AP107" s="86" t="str">
        <f t="shared" ca="1" si="310"/>
        <v>3F</v>
      </c>
      <c r="AQ107" s="86" t="str">
        <f t="shared" ca="1" si="310"/>
        <v>3F</v>
      </c>
      <c r="AR107" s="86" t="str">
        <f t="shared" ca="1" si="310"/>
        <v>3F</v>
      </c>
      <c r="AS107" s="86" t="str">
        <f t="shared" ca="1" si="310"/>
        <v>3F</v>
      </c>
      <c r="AT107" s="87" t="str">
        <f t="shared" ca="1" si="310"/>
        <v>3F</v>
      </c>
      <c r="AU107" s="330" t="str">
        <f t="shared" ca="1" si="299"/>
        <v/>
      </c>
      <c r="AV107" s="182" t="str">
        <f ca="1">INDEX($BD$58:$BD$69,MATCH(AI107,$BM$58:$BM$69,0))</f>
        <v>Iraq</v>
      </c>
      <c r="AW107" s="215"/>
      <c r="AX107" s="170"/>
      <c r="AY107" s="276"/>
      <c r="AZ107" s="279" t="str">
        <f t="shared" ca="1" si="303"/>
        <v/>
      </c>
      <c r="BA107" s="176"/>
      <c r="BF107" t="str">
        <f t="shared" ca="1" si="304"/>
        <v/>
      </c>
      <c r="BG107">
        <f t="shared" ca="1" si="305"/>
        <v>0</v>
      </c>
      <c r="BI107">
        <v>5</v>
      </c>
      <c r="BJ107" t="str">
        <f t="shared" ca="1" si="306"/>
        <v>Grupo</v>
      </c>
    </row>
    <row r="108" spans="1:62" ht="15.95" customHeight="1">
      <c r="A108" s="16" t="s">
        <v>694</v>
      </c>
      <c r="B108" s="16" t="s">
        <v>737</v>
      </c>
      <c r="C108" s="16"/>
      <c r="D108" s="16" t="str">
        <f t="shared" si="289"/>
        <v>W80</v>
      </c>
      <c r="E108" s="16" t="s">
        <v>247</v>
      </c>
      <c r="F108" s="16" t="s">
        <v>733</v>
      </c>
      <c r="G108" s="16" t="s">
        <v>447</v>
      </c>
      <c r="H108" s="16">
        <f t="shared" ca="1" si="290"/>
        <v>0</v>
      </c>
      <c r="I108" s="16"/>
      <c r="J108" s="16">
        <v>80</v>
      </c>
      <c r="K108" s="16">
        <v>46204.75</v>
      </c>
      <c r="L108" s="16" t="s">
        <v>704</v>
      </c>
      <c r="M108" s="16" t="str">
        <f t="shared" ca="1" si="291"/>
        <v>1L</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3EHIJK</v>
      </c>
      <c r="O108" s="16"/>
      <c r="P108" s="16"/>
      <c r="Q108" s="16"/>
      <c r="R108" s="16"/>
      <c r="S108" s="16"/>
      <c r="T108" s="16"/>
      <c r="U108" s="16"/>
      <c r="V108" s="17"/>
      <c r="W108" s="675"/>
      <c r="X108" s="24">
        <f ca="1">Horarios!C108</f>
        <v>46204.75</v>
      </c>
      <c r="Y108" s="25">
        <f ca="1">Horarios!C108</f>
        <v>46204.75</v>
      </c>
      <c r="Z108" s="280">
        <f t="shared" si="296"/>
        <v>80</v>
      </c>
      <c r="AA108" s="88" t="str">
        <f t="shared" ca="1" si="292"/>
        <v>1L</v>
      </c>
      <c r="AB108" s="89"/>
      <c r="AC108" s="92"/>
      <c r="AD108" s="92"/>
      <c r="AE108" s="89"/>
      <c r="AF108" s="91" t="str">
        <f t="shared" ca="1" si="293"/>
        <v>3EHIJK</v>
      </c>
      <c r="AG108" s="327">
        <f t="shared" si="294"/>
        <v>0</v>
      </c>
      <c r="AH108" s="195">
        <v>80</v>
      </c>
      <c r="AI108" s="182">
        <v>7</v>
      </c>
      <c r="AJ108" s="42">
        <v>7</v>
      </c>
      <c r="AK108" s="602" t="str" cm="1">
        <f t="array" aca="1" ref="AK108" ca="1">Ver_flag_visit</f>
        <v/>
      </c>
      <c r="AL108" s="85" t="str">
        <f t="shared" ca="1" si="297"/>
        <v>3G</v>
      </c>
      <c r="AM108" s="589" t="str">
        <f t="shared" ca="1" si="301"/>
        <v>3G</v>
      </c>
      <c r="AN108" s="86" t="str">
        <f t="shared" ref="AN108:AT108" ca="1" si="311">+IF($H$113&gt;=48,INDEX($BE$58:$BN$69,MATCH($AL108,$BD$58:$BD$69,0),MATCH(AN$5,$BE$57:$BN$57,0)),$BB64)</f>
        <v>3G</v>
      </c>
      <c r="AO108" s="86" t="str">
        <f t="shared" ca="1" si="311"/>
        <v>3G</v>
      </c>
      <c r="AP108" s="86" t="str">
        <f t="shared" ca="1" si="311"/>
        <v>3G</v>
      </c>
      <c r="AQ108" s="86" t="str">
        <f t="shared" ca="1" si="311"/>
        <v>3G</v>
      </c>
      <c r="AR108" s="86" t="str">
        <f t="shared" ca="1" si="311"/>
        <v>3G</v>
      </c>
      <c r="AS108" s="86" t="str">
        <f t="shared" ca="1" si="311"/>
        <v>3G</v>
      </c>
      <c r="AT108" s="87" t="str">
        <f t="shared" ca="1" si="311"/>
        <v>3G</v>
      </c>
      <c r="AU108" s="330" t="str">
        <f t="shared" ca="1" si="299"/>
        <v/>
      </c>
      <c r="AV108" s="182" t="str">
        <f t="shared" ca="1" si="300"/>
        <v>Ivory Coast</v>
      </c>
      <c r="AW108" s="215"/>
      <c r="AX108" s="170"/>
      <c r="AY108" s="276"/>
      <c r="AZ108" s="279" t="str">
        <f t="shared" ca="1" si="303"/>
        <v/>
      </c>
      <c r="BA108" s="176"/>
      <c r="BF108" t="str">
        <f t="shared" ca="1" si="304"/>
        <v/>
      </c>
      <c r="BG108">
        <f t="shared" ca="1" si="305"/>
        <v>0</v>
      </c>
      <c r="BI108">
        <v>6</v>
      </c>
      <c r="BJ108" t="str">
        <f t="shared" ca="1" si="306"/>
        <v>Grupo</v>
      </c>
    </row>
    <row r="109" spans="1:62" ht="15.95" customHeight="1">
      <c r="A109" s="16" t="s">
        <v>670</v>
      </c>
      <c r="B109" s="16" t="s">
        <v>738</v>
      </c>
      <c r="C109" s="16"/>
      <c r="D109" s="16" t="str">
        <f t="shared" si="289"/>
        <v>W82</v>
      </c>
      <c r="E109" s="16" t="s">
        <v>74</v>
      </c>
      <c r="F109" s="16" t="s">
        <v>733</v>
      </c>
      <c r="G109" s="16" t="s">
        <v>448</v>
      </c>
      <c r="H109" s="16">
        <f t="shared" ca="1" si="290"/>
        <v>0</v>
      </c>
      <c r="I109" s="16"/>
      <c r="J109" s="16">
        <v>81</v>
      </c>
      <c r="K109" s="16">
        <v>46204.75</v>
      </c>
      <c r="L109" s="16" t="s">
        <v>705</v>
      </c>
      <c r="M109" s="16" t="str">
        <f t="shared" ca="1" si="291"/>
        <v>1D</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3BEFIJ</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1G</v>
      </c>
      <c r="AB109" s="89"/>
      <c r="AC109" s="92"/>
      <c r="AD109" s="92"/>
      <c r="AE109" s="89"/>
      <c r="AF109" s="91" t="str">
        <f t="shared" ca="1" si="293"/>
        <v>3AEHIJ</v>
      </c>
      <c r="AG109" s="327">
        <f t="shared" si="294"/>
        <v>0</v>
      </c>
      <c r="AH109" s="195">
        <v>82</v>
      </c>
      <c r="AI109" s="182">
        <v>8</v>
      </c>
      <c r="AJ109" s="42">
        <v>8</v>
      </c>
      <c r="AK109" s="602" t="str" cm="1">
        <f t="array" aca="1" ref="AK109" ca="1">Ver_flag_visit</f>
        <v/>
      </c>
      <c r="AL109" s="85" t="str">
        <f t="shared" ca="1" si="297"/>
        <v>3H</v>
      </c>
      <c r="AM109" s="589" t="str">
        <f t="shared" ca="1" si="301"/>
        <v>3H</v>
      </c>
      <c r="AN109" s="86" t="str">
        <f t="shared" ref="AN109:AT109" ca="1" si="312">+IF($H$113&gt;=48,INDEX($BE$58:$BN$69,MATCH($AL109,$BD$58:$BD$69,0),MATCH(AN$5,$BE$57:$BN$57,0)),$BB65)</f>
        <v>3H</v>
      </c>
      <c r="AO109" s="86" t="str">
        <f t="shared" ca="1" si="312"/>
        <v>3H</v>
      </c>
      <c r="AP109" s="86" t="str">
        <f t="shared" ca="1" si="312"/>
        <v>3H</v>
      </c>
      <c r="AQ109" s="86" t="str">
        <f t="shared" ca="1" si="312"/>
        <v>3H</v>
      </c>
      <c r="AR109" s="86" t="str">
        <f t="shared" ca="1" si="312"/>
        <v>3H</v>
      </c>
      <c r="AS109" s="86" t="str">
        <f t="shared" ca="1" si="312"/>
        <v>3H</v>
      </c>
      <c r="AT109" s="87" t="str">
        <f t="shared" ca="1" si="312"/>
        <v>3H</v>
      </c>
      <c r="AU109" s="330" t="str">
        <f t="shared" ca="1" si="299"/>
        <v/>
      </c>
      <c r="AV109" s="182" t="str">
        <f t="shared" ca="1" si="300"/>
        <v>Qatar</v>
      </c>
      <c r="AW109" s="215"/>
      <c r="AX109" s="170"/>
      <c r="AY109" s="276"/>
      <c r="AZ109" s="279" t="str">
        <f t="shared" ca="1" si="303"/>
        <v/>
      </c>
      <c r="BA109" s="176"/>
      <c r="BF109" t="str">
        <f t="shared" ca="1" si="304"/>
        <v/>
      </c>
      <c r="BG109">
        <f t="shared" ca="1" si="305"/>
        <v>0</v>
      </c>
      <c r="BI109">
        <v>7</v>
      </c>
      <c r="BJ109" t="str">
        <f t="shared" ca="1" si="306"/>
        <v>Grupo</v>
      </c>
    </row>
    <row r="110" spans="1:62" ht="15.95" customHeight="1">
      <c r="A110" s="16" t="s">
        <v>679</v>
      </c>
      <c r="B110" s="16" t="s">
        <v>739</v>
      </c>
      <c r="C110" s="16"/>
      <c r="D110" s="16" t="str">
        <f t="shared" si="289"/>
        <v>W81</v>
      </c>
      <c r="E110" s="16" t="s">
        <v>6</v>
      </c>
      <c r="F110" s="16" t="s">
        <v>733</v>
      </c>
      <c r="G110" s="16" t="s">
        <v>5</v>
      </c>
      <c r="H110" s="16">
        <f t="shared" ca="1" si="290"/>
        <v>0</v>
      </c>
      <c r="I110" s="16"/>
      <c r="J110" s="16">
        <v>82</v>
      </c>
      <c r="K110" s="16">
        <v>46204.75</v>
      </c>
      <c r="L110" s="16" t="s">
        <v>706</v>
      </c>
      <c r="M110" s="16" t="str">
        <f t="shared" ca="1" si="291"/>
        <v>1G</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3AEHIJ</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1D</v>
      </c>
      <c r="AB110" s="89"/>
      <c r="AC110" s="92"/>
      <c r="AD110" s="92"/>
      <c r="AE110" s="89"/>
      <c r="AF110" s="91" t="str">
        <f t="shared" ca="1" si="293"/>
        <v>3BEFIJ</v>
      </c>
      <c r="AG110" s="327">
        <f t="shared" si="294"/>
        <v>0</v>
      </c>
      <c r="AH110" s="195">
        <v>81</v>
      </c>
      <c r="AI110" s="182">
        <v>9</v>
      </c>
      <c r="AJ110" s="42">
        <v>9</v>
      </c>
      <c r="AK110" s="602" t="str" cm="1">
        <f t="array" aca="1" ref="AK110" ca="1">Ver_flag_visit</f>
        <v/>
      </c>
      <c r="AL110" s="85" t="str">
        <f t="shared" ca="1" si="297"/>
        <v>3I</v>
      </c>
      <c r="AM110" s="589" t="str">
        <f t="shared" ca="1" si="301"/>
        <v>3I</v>
      </c>
      <c r="AN110" s="86" t="str">
        <f t="shared" ref="AN110:AT110" ca="1" si="313">+IF($H$113&gt;=48,INDEX($BE$58:$BN$69,MATCH($AL110,$BD$58:$BD$69,0),MATCH(AN$5,$BE$57:$BN$57,0)),$BB66)</f>
        <v>3I</v>
      </c>
      <c r="AO110" s="86" t="str">
        <f t="shared" ca="1" si="313"/>
        <v>3I</v>
      </c>
      <c r="AP110" s="86" t="str">
        <f t="shared" ca="1" si="313"/>
        <v>3I</v>
      </c>
      <c r="AQ110" s="86" t="str">
        <f t="shared" ca="1" si="313"/>
        <v>3I</v>
      </c>
      <c r="AR110" s="86" t="str">
        <f t="shared" ca="1" si="313"/>
        <v>3I</v>
      </c>
      <c r="AS110" s="86" t="str">
        <f t="shared" ca="1" si="313"/>
        <v>3I</v>
      </c>
      <c r="AT110" s="87" t="str">
        <f t="shared" ca="1" si="313"/>
        <v>3I</v>
      </c>
      <c r="AU110" s="330" t="str">
        <f t="shared" ca="1" si="299"/>
        <v/>
      </c>
      <c r="AV110" s="182" t="str">
        <f t="shared" ca="1" si="300"/>
        <v>Saudi Arabia</v>
      </c>
      <c r="AW110" s="215"/>
      <c r="AX110" s="170"/>
      <c r="AY110" s="276"/>
      <c r="AZ110" s="279" t="str">
        <f t="shared" ca="1" si="303"/>
        <v/>
      </c>
      <c r="BA110" s="176"/>
      <c r="BF110" t="str">
        <f t="shared" ca="1" si="304"/>
        <v/>
      </c>
      <c r="BG110">
        <f t="shared" ca="1" si="305"/>
        <v>0</v>
      </c>
      <c r="BI110">
        <v>8</v>
      </c>
      <c r="BJ110" t="str">
        <f t="shared" ca="1" si="306"/>
        <v>Grupo</v>
      </c>
    </row>
    <row r="111" spans="1:62" ht="15.95" customHeight="1">
      <c r="A111" s="16" t="s">
        <v>692</v>
      </c>
      <c r="B111" s="16" t="s">
        <v>695</v>
      </c>
      <c r="C111" s="16"/>
      <c r="D111" s="16" t="str">
        <f t="shared" si="289"/>
        <v>W84</v>
      </c>
      <c r="E111" s="16" t="s">
        <v>449</v>
      </c>
      <c r="F111" s="16" t="s">
        <v>247</v>
      </c>
      <c r="G111" s="16" t="s">
        <v>449</v>
      </c>
      <c r="H111" s="16">
        <f t="shared" ca="1" si="290"/>
        <v>0</v>
      </c>
      <c r="I111" s="16"/>
      <c r="J111" s="16">
        <v>83</v>
      </c>
      <c r="K111" s="16">
        <v>46205.75</v>
      </c>
      <c r="L111" s="16" t="s">
        <v>707</v>
      </c>
      <c r="M111" s="16" t="str">
        <f t="shared" ca="1" si="291"/>
        <v>2K</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2L</v>
      </c>
      <c r="O111" s="16"/>
      <c r="P111" s="16"/>
      <c r="Q111" s="16"/>
      <c r="R111" s="16"/>
      <c r="S111" s="16"/>
      <c r="T111" s="16"/>
      <c r="U111" s="16"/>
      <c r="V111" s="17"/>
      <c r="W111" s="675"/>
      <c r="X111" s="24">
        <f ca="1">Horarios!C111</f>
        <v>46205.875</v>
      </c>
      <c r="Y111" s="25">
        <f ca="1">Horarios!C111</f>
        <v>46205.875</v>
      </c>
      <c r="Z111" s="280">
        <f t="shared" si="296"/>
        <v>84</v>
      </c>
      <c r="AA111" s="88" t="str">
        <f t="shared" ca="1" si="292"/>
        <v>1H</v>
      </c>
      <c r="AB111" s="89"/>
      <c r="AC111" s="92"/>
      <c r="AD111" s="92"/>
      <c r="AE111" s="89"/>
      <c r="AF111" s="91" t="str">
        <f t="shared" ca="1" si="293"/>
        <v>2J</v>
      </c>
      <c r="AG111" s="327">
        <f t="shared" si="294"/>
        <v>0</v>
      </c>
      <c r="AH111" s="195">
        <v>84</v>
      </c>
      <c r="AI111" s="182">
        <v>10</v>
      </c>
      <c r="AJ111" s="42">
        <v>10</v>
      </c>
      <c r="AK111" s="602" t="str" cm="1">
        <f t="array" aca="1" ref="AK111" ca="1">Ver_flag_visit</f>
        <v/>
      </c>
      <c r="AL111" s="85" t="str">
        <f t="shared" ca="1" si="297"/>
        <v>3J</v>
      </c>
      <c r="AM111" s="589" t="str">
        <f t="shared" ca="1" si="301"/>
        <v>3J</v>
      </c>
      <c r="AN111" s="86" t="str">
        <f t="shared" ref="AN111:AT111" ca="1" si="314">+IF($H$113&gt;=48,INDEX($BE$58:$BN$69,MATCH($AL111,$BD$58:$BD$69,0),MATCH(AN$5,$BE$57:$BN$57,0)),$BB67)</f>
        <v>3J</v>
      </c>
      <c r="AO111" s="86" t="str">
        <f t="shared" ca="1" si="314"/>
        <v>3J</v>
      </c>
      <c r="AP111" s="86" t="str">
        <f t="shared" ca="1" si="314"/>
        <v>3J</v>
      </c>
      <c r="AQ111" s="86" t="str">
        <f t="shared" ca="1" si="314"/>
        <v>3J</v>
      </c>
      <c r="AR111" s="86" t="str">
        <f t="shared" ca="1" si="314"/>
        <v>3J</v>
      </c>
      <c r="AS111" s="86" t="str">
        <f t="shared" ca="1" si="314"/>
        <v>3J</v>
      </c>
      <c r="AT111" s="87" t="str">
        <f t="shared" ca="1" si="314"/>
        <v>3J</v>
      </c>
      <c r="AU111" s="330" t="str">
        <f t="shared" ca="1" si="299"/>
        <v/>
      </c>
      <c r="AV111" s="182" t="str">
        <f t="shared" ca="1" si="300"/>
        <v>South Korea</v>
      </c>
      <c r="AW111" s="215"/>
      <c r="AX111" s="170"/>
      <c r="AY111" s="275"/>
      <c r="AZ111" s="275"/>
      <c r="BA111" s="176"/>
      <c r="BI111" t="s">
        <v>87</v>
      </c>
    </row>
    <row r="112" spans="1:62" ht="15.95" customHeight="1">
      <c r="A112" s="16" t="s">
        <v>682</v>
      </c>
      <c r="B112" s="16" t="s">
        <v>689</v>
      </c>
      <c r="C112" s="16"/>
      <c r="D112" s="16" t="str">
        <f t="shared" si="289"/>
        <v>W83</v>
      </c>
      <c r="E112" s="16" t="s">
        <v>447</v>
      </c>
      <c r="F112" s="16" t="s">
        <v>5</v>
      </c>
      <c r="G112" s="16" t="s">
        <v>247</v>
      </c>
      <c r="H112" s="16">
        <f t="shared" ca="1" si="290"/>
        <v>0</v>
      </c>
      <c r="I112" s="16"/>
      <c r="J112" s="16">
        <v>84</v>
      </c>
      <c r="K112" s="16">
        <v>46205.75</v>
      </c>
      <c r="L112" s="16" t="s">
        <v>708</v>
      </c>
      <c r="M112" s="16" t="str">
        <f t="shared" ca="1" si="291"/>
        <v>1H</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2J</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2K</v>
      </c>
      <c r="AB112" s="89"/>
      <c r="AC112" s="92"/>
      <c r="AD112" s="92"/>
      <c r="AE112" s="89"/>
      <c r="AF112" s="91" t="str">
        <f t="shared" ca="1" si="293"/>
        <v>2L</v>
      </c>
      <c r="AG112" s="327">
        <f t="shared" si="294"/>
        <v>0</v>
      </c>
      <c r="AH112" s="195">
        <v>83</v>
      </c>
      <c r="AI112" s="182">
        <v>11</v>
      </c>
      <c r="AJ112" s="42">
        <v>11</v>
      </c>
      <c r="AK112" s="602" t="str" cm="1">
        <f t="array" aca="1" ref="AK112" ca="1">Ver_flag_visit</f>
        <v/>
      </c>
      <c r="AL112" s="85" t="str">
        <f t="shared" ca="1" si="297"/>
        <v>3K</v>
      </c>
      <c r="AM112" s="589" t="str">
        <f t="shared" ca="1" si="301"/>
        <v>3K</v>
      </c>
      <c r="AN112" s="86" t="str">
        <f t="shared" ref="AN112:AT112" ca="1" si="315">+IF($H$113&gt;=48,INDEX($BE$58:$BN$69,MATCH($AL112,$BD$58:$BD$69,0),MATCH(AN$5,$BE$57:$BN$57,0)),$BB68)</f>
        <v>3K</v>
      </c>
      <c r="AO112" s="86" t="str">
        <f t="shared" ca="1" si="315"/>
        <v>3K</v>
      </c>
      <c r="AP112" s="86" t="str">
        <f t="shared" ca="1" si="315"/>
        <v>3K</v>
      </c>
      <c r="AQ112" s="86" t="str">
        <f t="shared" ca="1" si="315"/>
        <v>3K</v>
      </c>
      <c r="AR112" s="86" t="str">
        <f t="shared" ca="1" si="315"/>
        <v>3K</v>
      </c>
      <c r="AS112" s="86" t="str">
        <f t="shared" ca="1" si="315"/>
        <v>3K</v>
      </c>
      <c r="AT112" s="87" t="str">
        <f t="shared" ca="1" si="315"/>
        <v>3K</v>
      </c>
      <c r="AU112" s="330" t="str">
        <f t="shared" ca="1" si="299"/>
        <v/>
      </c>
      <c r="AV112" s="182" t="str">
        <f t="shared" ca="1" si="300"/>
        <v>Sweden</v>
      </c>
      <c r="AW112" s="215"/>
      <c r="AX112" s="170"/>
      <c r="AY112" s="275"/>
      <c r="AZ112" s="275"/>
      <c r="BA112" s="176"/>
      <c r="BI112" t="str">
        <f ca="1">IFERROR(CONCATENATE(BJ103,BJ104,BJ105,BJ106,BJ107,BJ108,BJ109,BJ110),"¿A/B/C/D/E/F/G/H/I/J/K/L?")</f>
        <v>GrupoGrupoGrupoGrupoGrupoGrupoGrupoGrupo</v>
      </c>
    </row>
    <row r="113" spans="1:59" ht="15.95" customHeight="1" thickBot="1">
      <c r="A113" s="16" t="s">
        <v>660</v>
      </c>
      <c r="B113" s="16" t="s">
        <v>740</v>
      </c>
      <c r="C113" s="16"/>
      <c r="D113" s="16" t="str">
        <f t="shared" si="289"/>
        <v>W85</v>
      </c>
      <c r="E113" s="16" t="s">
        <v>1</v>
      </c>
      <c r="F113" s="16" t="s">
        <v>733</v>
      </c>
      <c r="G113" s="16" t="s">
        <v>733</v>
      </c>
      <c r="H113" s="16">
        <f ca="1">+IF($AJ$99&lt;&gt;144,SUM(H101:H112),$AJ$99)</f>
        <v>0</v>
      </c>
      <c r="I113" s="16"/>
      <c r="J113" s="16">
        <v>85</v>
      </c>
      <c r="K113" s="16">
        <v>46205.75</v>
      </c>
      <c r="L113" s="16" t="s">
        <v>709</v>
      </c>
      <c r="M113" s="16" t="str">
        <f t="shared" ca="1" si="291"/>
        <v>1B</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3EFGIJ</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1B</v>
      </c>
      <c r="AB113" s="89"/>
      <c r="AC113" s="92"/>
      <c r="AD113" s="92"/>
      <c r="AE113" s="90"/>
      <c r="AF113" s="91" t="str">
        <f t="shared" ca="1" si="293"/>
        <v>3EFGIJ</v>
      </c>
      <c r="AG113" s="327">
        <f t="shared" si="294"/>
        <v>0</v>
      </c>
      <c r="AH113" s="195">
        <v>85</v>
      </c>
      <c r="AI113" s="182">
        <v>12</v>
      </c>
      <c r="AJ113" s="44">
        <v>12</v>
      </c>
      <c r="AK113" s="604" t="str" cm="1">
        <f t="array" aca="1" ref="AK113" ca="1">Ver_flag_visit</f>
        <v/>
      </c>
      <c r="AL113" s="45" t="str">
        <f t="shared" ca="1" si="297"/>
        <v>3L</v>
      </c>
      <c r="AM113" s="590" t="str">
        <f t="shared" ca="1" si="301"/>
        <v>3L</v>
      </c>
      <c r="AN113" s="47" t="str">
        <f t="shared" ref="AN113:AT113" ca="1" si="316">+IF($H$113&gt;=48,INDEX($BE$58:$BN$69,MATCH($AL113,$BD$58:$BD$69,0),MATCH(AN$5,$BE$57:$BN$57,0)),$BB69)</f>
        <v>3L</v>
      </c>
      <c r="AO113" s="47" t="str">
        <f t="shared" ca="1" si="316"/>
        <v>3L</v>
      </c>
      <c r="AP113" s="47" t="str">
        <f t="shared" ca="1" si="316"/>
        <v>3L</v>
      </c>
      <c r="AQ113" s="47" t="str">
        <f t="shared" ca="1" si="316"/>
        <v>3L</v>
      </c>
      <c r="AR113" s="47" t="str">
        <f t="shared" ca="1" si="316"/>
        <v>3L</v>
      </c>
      <c r="AS113" s="47" t="str">
        <f t="shared" ca="1" si="316"/>
        <v>3L</v>
      </c>
      <c r="AT113" s="48" t="str">
        <f t="shared" ca="1" si="316"/>
        <v>3L</v>
      </c>
      <c r="AU113" s="330" t="str">
        <f t="shared" ca="1" si="299"/>
        <v/>
      </c>
      <c r="AV113" s="182" t="str">
        <f t="shared" ca="1" si="300"/>
        <v>Uzbekistan</v>
      </c>
      <c r="AW113" s="215"/>
      <c r="AX113" s="170"/>
      <c r="AY113" s="154"/>
      <c r="AZ113" s="155"/>
      <c r="BA113" s="176"/>
    </row>
    <row r="114" spans="1:59" ht="15.95" customHeight="1">
      <c r="A114" s="16" t="s">
        <v>688</v>
      </c>
      <c r="B114" s="16" t="s">
        <v>683</v>
      </c>
      <c r="C114" s="16"/>
      <c r="D114" s="16" t="str">
        <f t="shared" si="289"/>
        <v>W88</v>
      </c>
      <c r="E114" s="16" t="s">
        <v>5</v>
      </c>
      <c r="F114" s="16" t="s">
        <v>447</v>
      </c>
      <c r="G114" s="16"/>
      <c r="H114" s="16"/>
      <c r="I114" s="16"/>
      <c r="J114" s="16">
        <v>86</v>
      </c>
      <c r="K114" s="16">
        <v>46206.75</v>
      </c>
      <c r="L114" s="16" t="s">
        <v>710</v>
      </c>
      <c r="M114" s="16" t="str">
        <f t="shared" ca="1" si="291"/>
        <v>1J</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2H</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2D</v>
      </c>
      <c r="AB114" s="89"/>
      <c r="AC114" s="92"/>
      <c r="AD114" s="92"/>
      <c r="AE114" s="89"/>
      <c r="AF114" s="91" t="str">
        <f t="shared" ca="1" si="293"/>
        <v>2G</v>
      </c>
      <c r="AG114" s="327">
        <f t="shared" si="294"/>
        <v>0</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si="289"/>
        <v>W86</v>
      </c>
      <c r="E115" s="16" t="s">
        <v>449</v>
      </c>
      <c r="F115" s="16" t="s">
        <v>733</v>
      </c>
      <c r="G115" s="16"/>
      <c r="H115" s="16"/>
      <c r="I115" s="16"/>
      <c r="J115" s="16">
        <v>87</v>
      </c>
      <c r="K115" s="16">
        <v>46206.75</v>
      </c>
      <c r="L115" s="16" t="s">
        <v>711</v>
      </c>
      <c r="M115" s="16" t="str">
        <f t="shared" ca="1" si="291"/>
        <v>1K</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3DEIJL</v>
      </c>
      <c r="O115" s="16"/>
      <c r="P115" s="16"/>
      <c r="Q115" s="16"/>
      <c r="R115" s="16"/>
      <c r="S115" s="16"/>
      <c r="T115" s="16"/>
      <c r="U115" s="16"/>
      <c r="V115" s="17"/>
      <c r="W115" s="675"/>
      <c r="X115" s="24">
        <f ca="1">Horarios!C115</f>
        <v>46207</v>
      </c>
      <c r="Y115" s="25">
        <f ca="1">Horarios!C115</f>
        <v>46207</v>
      </c>
      <c r="Z115" s="280">
        <f t="shared" si="296"/>
        <v>86</v>
      </c>
      <c r="AA115" s="88" t="str">
        <f t="shared" ca="1" si="292"/>
        <v>1J</v>
      </c>
      <c r="AB115" s="89"/>
      <c r="AC115" s="92"/>
      <c r="AD115" s="92"/>
      <c r="AE115" s="89"/>
      <c r="AF115" s="91" t="str">
        <f t="shared" ca="1" si="293"/>
        <v>2H</v>
      </c>
      <c r="AG115" s="327">
        <f t="shared" si="294"/>
        <v>0</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si="289"/>
        <v>W87</v>
      </c>
      <c r="E116" s="16" t="s">
        <v>74</v>
      </c>
      <c r="F116" s="16" t="s">
        <v>6</v>
      </c>
      <c r="G116" s="16"/>
      <c r="H116" s="16"/>
      <c r="I116" s="16"/>
      <c r="J116" s="16">
        <v>88</v>
      </c>
      <c r="K116" s="16">
        <v>46206.75</v>
      </c>
      <c r="L116" s="16" t="s">
        <v>712</v>
      </c>
      <c r="M116" s="16" t="str">
        <f t="shared" ca="1" si="291"/>
        <v>2D</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2G</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1K</v>
      </c>
      <c r="AB116" s="94"/>
      <c r="AC116" s="277"/>
      <c r="AD116" s="277"/>
      <c r="AE116" s="94"/>
      <c r="AF116" s="95" t="str">
        <f t="shared" ca="1" si="293"/>
        <v>3DEIJL</v>
      </c>
      <c r="AG116" s="327">
        <f t="shared" si="294"/>
        <v>0</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
      </c>
    </row>
    <row r="120" spans="1:59" ht="15.95" customHeight="1">
      <c r="A120" s="16" t="s">
        <v>742</v>
      </c>
      <c r="B120" s="16" t="s">
        <v>743</v>
      </c>
      <c r="C120" s="16"/>
      <c r="D120" s="16" t="str">
        <f t="shared" ref="D120:D127" si="317">IF(AND(OR(AC120="",AD120="")),"W"&amp;AH120,IF(AC120&gt;AD120,AA120,IF(AC120&lt;AD120,AF120,IF(AND(AC120=AD120,AB120=AE120),"W"&amp;AH120,IF(AND(AC120=AD120,OR(AB120="",AE120="")),"W"&amp;AH120,IF(AND(AC120=AD120,AB120&gt;AE120),AA120,AF120))))))</f>
        <v>W90</v>
      </c>
      <c r="E120" s="16">
        <v>74</v>
      </c>
      <c r="F120" s="16">
        <v>77</v>
      </c>
      <c r="G120" s="16"/>
      <c r="H120" s="16"/>
      <c r="I120" s="16"/>
      <c r="J120" s="16">
        <v>89</v>
      </c>
      <c r="K120" s="16">
        <v>46207.75</v>
      </c>
      <c r="L120" s="16" t="s">
        <v>713</v>
      </c>
      <c r="M120" s="16" t="str">
        <f t="shared" ref="M120:N127" si="318">+INDEX($D$101:$D$147,MATCH(E120,$AH$101:$AH$147,0))</f>
        <v>W74</v>
      </c>
      <c r="N120" s="16" t="str">
        <f t="shared" si="318"/>
        <v>W77</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si="320">+INDEX($M$101:$M$147,MATCH(AH120,$J$101:$J$147,0))</f>
        <v>W73</v>
      </c>
      <c r="AB120" s="89"/>
      <c r="AC120" s="96"/>
      <c r="AD120" s="96"/>
      <c r="AE120" s="89"/>
      <c r="AF120" s="91" t="str">
        <f t="shared" ref="AF120:AF127" si="321">+INDEX($N$101:$N$147,MATCH(AH120,$J$101:$J$147,0))</f>
        <v>W75</v>
      </c>
      <c r="AG120" s="327">
        <f t="shared" ref="AG120:AG127" si="322">IF(D120="W"&amp;AH120,0,1)</f>
        <v>0</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
      </c>
    </row>
    <row r="121" spans="1:59" ht="15.95" customHeight="1">
      <c r="A121" s="16" t="s">
        <v>744</v>
      </c>
      <c r="B121" s="16" t="s">
        <v>745</v>
      </c>
      <c r="C121" s="16"/>
      <c r="D121" s="16" t="str">
        <f t="shared" si="317"/>
        <v>W89</v>
      </c>
      <c r="E121" s="16">
        <v>73</v>
      </c>
      <c r="F121" s="16">
        <v>75</v>
      </c>
      <c r="G121" s="16"/>
      <c r="H121" s="16"/>
      <c r="I121" s="16"/>
      <c r="J121" s="16">
        <v>90</v>
      </c>
      <c r="K121" s="16">
        <v>46207.875</v>
      </c>
      <c r="L121" s="16" t="s">
        <v>714</v>
      </c>
      <c r="M121" s="16" t="str">
        <f t="shared" si="318"/>
        <v>W73</v>
      </c>
      <c r="N121" s="16" t="str">
        <f t="shared" si="318"/>
        <v>W75</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si="320"/>
        <v>W74</v>
      </c>
      <c r="AB121" s="89"/>
      <c r="AC121" s="97"/>
      <c r="AD121" s="97"/>
      <c r="AE121" s="89"/>
      <c r="AF121" s="91" t="str">
        <f t="shared" si="321"/>
        <v>W77</v>
      </c>
      <c r="AG121" s="327">
        <f t="shared" si="322"/>
        <v>0</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
      </c>
    </row>
    <row r="122" spans="1:59" ht="15.95" customHeight="1">
      <c r="A122" s="16" t="s">
        <v>746</v>
      </c>
      <c r="B122" s="16" t="s">
        <v>747</v>
      </c>
      <c r="C122" s="16"/>
      <c r="D122" s="16" t="str">
        <f t="shared" si="317"/>
        <v>W91</v>
      </c>
      <c r="E122" s="16">
        <v>76</v>
      </c>
      <c r="F122" s="16">
        <v>78</v>
      </c>
      <c r="G122" s="16"/>
      <c r="H122" s="16"/>
      <c r="I122" s="16"/>
      <c r="J122" s="16">
        <v>91</v>
      </c>
      <c r="K122" s="16">
        <v>46208.75</v>
      </c>
      <c r="L122" s="16" t="s">
        <v>715</v>
      </c>
      <c r="M122" s="16" t="str">
        <f t="shared" si="318"/>
        <v>W76</v>
      </c>
      <c r="N122" s="16" t="str">
        <f t="shared" si="318"/>
        <v>W78</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si="320"/>
        <v>W76</v>
      </c>
      <c r="AB122" s="89"/>
      <c r="AC122" s="97"/>
      <c r="AD122" s="97"/>
      <c r="AE122" s="89"/>
      <c r="AF122" s="91" t="str">
        <f t="shared" si="321"/>
        <v>W78</v>
      </c>
      <c r="AG122" s="327">
        <f t="shared" si="322"/>
        <v>0</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
      </c>
    </row>
    <row r="123" spans="1:59" ht="15.95" customHeight="1">
      <c r="A123" s="16" t="s">
        <v>748</v>
      </c>
      <c r="B123" s="16" t="s">
        <v>749</v>
      </c>
      <c r="C123" s="16"/>
      <c r="D123" s="16" t="str">
        <f t="shared" si="317"/>
        <v>W92</v>
      </c>
      <c r="E123" s="16">
        <v>79</v>
      </c>
      <c r="F123" s="16">
        <v>80</v>
      </c>
      <c r="G123" s="16"/>
      <c r="H123" s="16"/>
      <c r="I123" s="16"/>
      <c r="J123" s="16">
        <v>92</v>
      </c>
      <c r="K123" s="16">
        <v>46208.875</v>
      </c>
      <c r="L123" s="16" t="s">
        <v>716</v>
      </c>
      <c r="M123" s="16" t="str">
        <f t="shared" si="318"/>
        <v>W79</v>
      </c>
      <c r="N123" s="16" t="str">
        <f t="shared" si="318"/>
        <v>W80</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si="320"/>
        <v>W79</v>
      </c>
      <c r="AB123" s="89"/>
      <c r="AC123" s="97"/>
      <c r="AD123" s="97"/>
      <c r="AE123" s="89"/>
      <c r="AF123" s="91" t="str">
        <f t="shared" si="321"/>
        <v>W80</v>
      </c>
      <c r="AG123" s="327">
        <f t="shared" si="322"/>
        <v>0</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
      </c>
    </row>
    <row r="124" spans="1:59" ht="15.95" customHeight="1">
      <c r="A124" s="16" t="s">
        <v>750</v>
      </c>
      <c r="B124" s="16" t="s">
        <v>751</v>
      </c>
      <c r="C124" s="16"/>
      <c r="D124" s="16" t="str">
        <f t="shared" si="317"/>
        <v>W93</v>
      </c>
      <c r="E124" s="16">
        <v>83</v>
      </c>
      <c r="F124" s="16">
        <v>84</v>
      </c>
      <c r="G124" s="16"/>
      <c r="H124" s="16"/>
      <c r="I124" s="16"/>
      <c r="J124" s="16">
        <v>93</v>
      </c>
      <c r="K124" s="16">
        <v>46209.75</v>
      </c>
      <c r="L124" s="16" t="s">
        <v>717</v>
      </c>
      <c r="M124" s="16" t="str">
        <f t="shared" si="318"/>
        <v>W83</v>
      </c>
      <c r="N124" s="16" t="str">
        <f t="shared" si="318"/>
        <v>W84</v>
      </c>
      <c r="O124" s="16"/>
      <c r="P124" s="16"/>
      <c r="Q124" s="16"/>
      <c r="R124" s="16"/>
      <c r="S124" s="16"/>
      <c r="T124" s="16"/>
      <c r="U124" s="16"/>
      <c r="V124" s="17"/>
      <c r="W124" s="677"/>
      <c r="X124" s="24">
        <f ca="1">Horarios!C124</f>
        <v>46209.875</v>
      </c>
      <c r="Y124" s="25">
        <f ca="1">Horarios!C124</f>
        <v>46209.875</v>
      </c>
      <c r="Z124" s="280">
        <f t="shared" si="319"/>
        <v>93</v>
      </c>
      <c r="AA124" s="88" t="str">
        <f t="shared" si="320"/>
        <v>W83</v>
      </c>
      <c r="AB124" s="98"/>
      <c r="AC124" s="97"/>
      <c r="AD124" s="97"/>
      <c r="AE124" s="90"/>
      <c r="AF124" s="91" t="str">
        <f t="shared" si="321"/>
        <v>W84</v>
      </c>
      <c r="AG124" s="327">
        <f t="shared" si="322"/>
        <v>0</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
      </c>
    </row>
    <row r="125" spans="1:59" ht="15.95" customHeight="1">
      <c r="A125" s="16" t="s">
        <v>752</v>
      </c>
      <c r="B125" s="16" t="s">
        <v>753</v>
      </c>
      <c r="C125" s="16"/>
      <c r="D125" s="16" t="str">
        <f t="shared" si="317"/>
        <v>W94</v>
      </c>
      <c r="E125" s="16">
        <v>81</v>
      </c>
      <c r="F125" s="16">
        <v>82</v>
      </c>
      <c r="G125" s="16"/>
      <c r="H125" s="16"/>
      <c r="I125" s="16"/>
      <c r="J125" s="16">
        <v>94</v>
      </c>
      <c r="K125" s="16">
        <v>46209.875</v>
      </c>
      <c r="L125" s="16" t="s">
        <v>718</v>
      </c>
      <c r="M125" s="16" t="str">
        <f t="shared" si="318"/>
        <v>W81</v>
      </c>
      <c r="N125" s="16" t="str">
        <f t="shared" si="318"/>
        <v>W82</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si="320"/>
        <v>W81</v>
      </c>
      <c r="AB125" s="89"/>
      <c r="AC125" s="99"/>
      <c r="AD125" s="99"/>
      <c r="AE125" s="89"/>
      <c r="AF125" s="91" t="str">
        <f t="shared" si="321"/>
        <v>W82</v>
      </c>
      <c r="AG125" s="327">
        <f t="shared" si="322"/>
        <v>0</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si="317"/>
        <v>W95</v>
      </c>
      <c r="E126" s="16">
        <v>86</v>
      </c>
      <c r="F126" s="16">
        <v>88</v>
      </c>
      <c r="G126" s="16"/>
      <c r="H126" s="16"/>
      <c r="I126" s="16"/>
      <c r="J126" s="16">
        <v>95</v>
      </c>
      <c r="K126" s="16">
        <v>46210.75</v>
      </c>
      <c r="L126" s="16" t="s">
        <v>719</v>
      </c>
      <c r="M126" s="16" t="str">
        <f t="shared" si="318"/>
        <v>W86</v>
      </c>
      <c r="N126" s="16" t="str">
        <f t="shared" si="318"/>
        <v>W88</v>
      </c>
      <c r="O126" s="16"/>
      <c r="P126" s="16"/>
      <c r="Q126" s="16"/>
      <c r="R126" s="16"/>
      <c r="S126" s="16"/>
      <c r="T126" s="16"/>
      <c r="U126" s="16"/>
      <c r="V126" s="17"/>
      <c r="W126" s="677"/>
      <c r="X126" s="24">
        <f ca="1">Horarios!C126</f>
        <v>46210.75</v>
      </c>
      <c r="Y126" s="25">
        <f ca="1">Horarios!C126</f>
        <v>46210.75</v>
      </c>
      <c r="Z126" s="280">
        <f t="shared" si="319"/>
        <v>95</v>
      </c>
      <c r="AA126" s="88" t="str">
        <f t="shared" si="320"/>
        <v>W86</v>
      </c>
      <c r="AB126" s="89"/>
      <c r="AC126" s="99"/>
      <c r="AD126" s="99"/>
      <c r="AE126" s="89"/>
      <c r="AF126" s="91" t="str">
        <f t="shared" si="321"/>
        <v>W88</v>
      </c>
      <c r="AG126" s="327">
        <f t="shared" si="322"/>
        <v>0</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si="317"/>
        <v>W96</v>
      </c>
      <c r="E127" s="16">
        <v>85</v>
      </c>
      <c r="F127" s="16">
        <v>87</v>
      </c>
      <c r="G127" s="16"/>
      <c r="H127" s="16"/>
      <c r="I127" s="16"/>
      <c r="J127" s="16">
        <v>96</v>
      </c>
      <c r="K127" s="16">
        <v>46210.875</v>
      </c>
      <c r="L127" s="16" t="s">
        <v>720</v>
      </c>
      <c r="M127" s="16" t="str">
        <f t="shared" si="318"/>
        <v>W85</v>
      </c>
      <c r="N127" s="16" t="str">
        <f t="shared" si="318"/>
        <v>W87</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si="320"/>
        <v>W85</v>
      </c>
      <c r="AB127" s="94"/>
      <c r="AC127" s="100"/>
      <c r="AD127" s="100"/>
      <c r="AE127" s="94"/>
      <c r="AF127" s="95" t="str">
        <f t="shared" si="321"/>
        <v>W87</v>
      </c>
      <c r="AG127" s="327">
        <f t="shared" si="322"/>
        <v>0</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IF(AND(OR(AC131="",AD131="")),"W"&amp;AH131,IF(AC131&gt;AD131,AA131,IF(AC131&lt;AD131,AF131,IF(AND(AC131=AD131,AB131=AE131),"W"&amp;AH131,IF(AND(AC131=AD131,OR(AB131="",AE131="")),"W"&amp;AH131,IF(AND(AC131=AD131,AB131&gt;AE131),AA131,AF131))))))</f>
        <v>W97</v>
      </c>
      <c r="E131" s="16">
        <v>89</v>
      </c>
      <c r="F131" s="16">
        <v>90</v>
      </c>
      <c r="G131" s="16"/>
      <c r="H131" s="16"/>
      <c r="I131" s="16"/>
      <c r="J131" s="16">
        <v>97</v>
      </c>
      <c r="K131" s="16">
        <v>46212.75</v>
      </c>
      <c r="L131" s="16" t="s">
        <v>721</v>
      </c>
      <c r="M131" s="16" t="str">
        <f t="shared" ref="M131:N134" si="323">+INDEX($D$101:$D$147,MATCH(E131,$AH$101:$AH$147,0))</f>
        <v>W89</v>
      </c>
      <c r="N131" s="16" t="str">
        <f t="shared" si="323"/>
        <v>W90</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si="325">+INDEX($M$101:$M$147,MATCH(AH131,$J$101:$J$147,0))</f>
        <v>W89</v>
      </c>
      <c r="AB131" s="98"/>
      <c r="AC131" s="96"/>
      <c r="AD131" s="96"/>
      <c r="AE131" s="90"/>
      <c r="AF131" s="116" t="str">
        <f>+INDEX($N$101:$N$147,MATCH(AH131,$J$101:$J$147,0))</f>
        <v>W90</v>
      </c>
      <c r="AG131" s="327">
        <f>IF(D131="W"&amp;AH131,0,1)</f>
        <v>0</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IF(AND(OR(AC132="",AD132="")),"W"&amp;AH132,IF(AC132&gt;AD132,AA132,IF(AC132&lt;AD132,AF132,IF(AND(AC132=AD132,AB132=AE132),"W"&amp;AH132,IF(AND(AC132=AD132,OR(AB132="",AE132="")),"W"&amp;AH132,IF(AND(AC132=AD132,AB132&gt;AE132),AA132,AF132))))))</f>
        <v>W98</v>
      </c>
      <c r="E132" s="16">
        <v>93</v>
      </c>
      <c r="F132" s="16">
        <v>94</v>
      </c>
      <c r="G132" s="16"/>
      <c r="H132" s="16"/>
      <c r="I132" s="16"/>
      <c r="J132" s="16">
        <v>98</v>
      </c>
      <c r="K132" s="16">
        <v>46213.875</v>
      </c>
      <c r="L132" s="16" t="s">
        <v>722</v>
      </c>
      <c r="M132" s="16" t="str">
        <f t="shared" si="323"/>
        <v>W93</v>
      </c>
      <c r="N132" s="16" t="str">
        <f t="shared" si="323"/>
        <v>W94</v>
      </c>
      <c r="O132" s="16"/>
      <c r="P132" s="16"/>
      <c r="Q132" s="16"/>
      <c r="R132" s="16"/>
      <c r="S132" s="16"/>
      <c r="T132" s="16"/>
      <c r="U132" s="16"/>
      <c r="V132" s="17"/>
      <c r="W132" s="679"/>
      <c r="X132" s="24">
        <f ca="1">Horarios!C132</f>
        <v>46213.875</v>
      </c>
      <c r="Y132" s="25">
        <f ca="1">Horarios!C132</f>
        <v>46213.875</v>
      </c>
      <c r="Z132" s="282">
        <f t="shared" si="324"/>
        <v>98</v>
      </c>
      <c r="AA132" s="88" t="str">
        <f t="shared" si="325"/>
        <v>W93</v>
      </c>
      <c r="AB132" s="89"/>
      <c r="AC132" s="99"/>
      <c r="AD132" s="99"/>
      <c r="AE132" s="89"/>
      <c r="AF132" s="116" t="str">
        <f>+INDEX($N$101:$N$147,MATCH(AH132,$J$101:$J$147,0))</f>
        <v>W94</v>
      </c>
      <c r="AG132" s="327">
        <f>IF(D132="W"&amp;AH132,0,1)</f>
        <v>0</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IF(AND(OR(AC133="",AD133="")),"W"&amp;AH133,IF(AC133&gt;AD133,AA133,IF(AC133&lt;AD133,AF133,IF(AND(AC133=AD133,AB133=AE133),"W"&amp;AH133,IF(AND(AC133=AD133,OR(AB133="",AE133="")),"W"&amp;AH133,IF(AND(AC133=AD133,AB133&gt;AE133),AA133,AF133))))))</f>
        <v>W99</v>
      </c>
      <c r="E133" s="16">
        <v>91</v>
      </c>
      <c r="F133" s="16">
        <v>92</v>
      </c>
      <c r="G133" s="16"/>
      <c r="H133" s="16"/>
      <c r="I133" s="16"/>
      <c r="J133" s="16">
        <v>99</v>
      </c>
      <c r="K133" s="16">
        <v>46214.75</v>
      </c>
      <c r="L133" s="16" t="s">
        <v>723</v>
      </c>
      <c r="M133" s="16" t="str">
        <f t="shared" si="323"/>
        <v>W91</v>
      </c>
      <c r="N133" s="16" t="str">
        <f t="shared" si="323"/>
        <v>W92</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si="325"/>
        <v>W91</v>
      </c>
      <c r="AB133" s="89"/>
      <c r="AC133" s="99"/>
      <c r="AD133" s="99"/>
      <c r="AE133" s="89"/>
      <c r="AF133" s="116" t="str">
        <f>+INDEX($N$101:$N$147,MATCH(AH133,$J$101:$J$147,0))</f>
        <v>W92</v>
      </c>
      <c r="AG133" s="327">
        <f>IF(D133="W"&amp;AH133,0,1)</f>
        <v>0</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IF(AND(OR(AC134="",AD134="")),"W"&amp;AH134,IF(AC134&gt;AD134,AA134,IF(AC134&lt;AD134,AF134,IF(AND(AC134=AD134,AB134=AE134),"W"&amp;AH134,IF(AND(AC134=AD134,OR(AB134="",AE134="")),"W"&amp;AH134,IF(AND(AC134=AD134,AB134&gt;AE134),AA134,AF134))))))</f>
        <v>W100</v>
      </c>
      <c r="E134" s="16">
        <v>95</v>
      </c>
      <c r="F134" s="16">
        <v>96</v>
      </c>
      <c r="G134" s="16"/>
      <c r="H134" s="16"/>
      <c r="I134" s="16"/>
      <c r="J134" s="16">
        <v>100</v>
      </c>
      <c r="K134" s="16">
        <v>46214.875</v>
      </c>
      <c r="L134" s="16" t="s">
        <v>724</v>
      </c>
      <c r="M134" s="16" t="str">
        <f t="shared" si="323"/>
        <v>W95</v>
      </c>
      <c r="N134" s="16" t="str">
        <f t="shared" si="323"/>
        <v>W96</v>
      </c>
      <c r="O134" s="16"/>
      <c r="P134" s="16"/>
      <c r="Q134" s="16"/>
      <c r="R134" s="16"/>
      <c r="S134" s="16"/>
      <c r="T134" s="16"/>
      <c r="U134" s="16"/>
      <c r="V134" s="17"/>
      <c r="W134" s="680"/>
      <c r="X134" s="28">
        <f ca="1">Horarios!C134</f>
        <v>46215.125</v>
      </c>
      <c r="Y134" s="29">
        <f ca="1">Horarios!C134</f>
        <v>46215.125</v>
      </c>
      <c r="Z134" s="283">
        <f t="shared" si="324"/>
        <v>100</v>
      </c>
      <c r="AA134" s="93" t="str">
        <f t="shared" si="325"/>
        <v>W95</v>
      </c>
      <c r="AB134" s="94"/>
      <c r="AC134" s="100"/>
      <c r="AD134" s="100"/>
      <c r="AE134" s="94"/>
      <c r="AF134" s="117" t="str">
        <f>+INDEX($N$101:$N$147,MATCH(AH134,$J$101:$J$147,0))</f>
        <v>W96</v>
      </c>
      <c r="AG134" s="327">
        <f>IF(D134="W"&amp;AH134,0,1)</f>
        <v>0</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IF(AND(OR(AC138="",AD138="")),"W"&amp;AH138,IF(AC138&gt;AD138,AA138,IF(AC138&lt;AD138,AF138,IF(AND(AC138=AD138,AB138=AE138),"W"&amp;AH138,IF(AND(AC138=AD138,OR(AB138="",AE138="")),"W"&amp;AH138,IF(AND(AC138=AD138,AB138&gt;AE138),AA138,AF138))))))</f>
        <v>W101</v>
      </c>
      <c r="E138" s="16">
        <v>97</v>
      </c>
      <c r="F138" s="16">
        <v>98</v>
      </c>
      <c r="G138" s="16"/>
      <c r="H138" s="16" t="str">
        <f>IF(AND(OR(AC138="",AD138="")),"L101",IF(AC138&gt;AD138,AF138,IF(AC138&lt;AD138,AA138,IF(AND(AC138=AD138,AB138=AE138),"L101",IF(AND(AC138=AD138,OR(AB138="",AE138="")),"L101",IF(AND(AC138=AD138,AB138&gt;AE138),AF138,AA138))))))</f>
        <v>L101</v>
      </c>
      <c r="I138" s="16"/>
      <c r="J138" s="16">
        <v>101</v>
      </c>
      <c r="K138" s="16">
        <v>46217.875</v>
      </c>
      <c r="L138" s="16" t="s">
        <v>725</v>
      </c>
      <c r="M138" s="16" t="str">
        <f>+INDEX($D$101:$D$147,MATCH(E138,$AH$101:$AH$147,0))</f>
        <v>W97</v>
      </c>
      <c r="N138" s="16" t="str">
        <f>+INDEX($D$101:$D$147,MATCH(F138,$AH$101:$AH$147,0))</f>
        <v>W98</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si="327">+INDEX($M$101:$M$147,MATCH(AH138,$J$101:$J$147,0))</f>
        <v>W97</v>
      </c>
      <c r="AB138" s="89"/>
      <c r="AC138" s="101"/>
      <c r="AD138" s="101"/>
      <c r="AE138" s="89"/>
      <c r="AF138" s="116" t="str">
        <f>+INDEX($N$101:$N$147,MATCH(AH138,$J$101:$J$147,0))</f>
        <v>W98</v>
      </c>
      <c r="AG138" s="327">
        <f>IF(D138="W"&amp;AH138,0,1)</f>
        <v>0</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IF(AND(OR(AC139="",AD139="")),"W"&amp;AH139,IF(AC139&gt;AD139,AA139,IF(AC139&lt;AD139,AF139,IF(AND(AC139=AD139,AB139=AE139),"W"&amp;AH139,IF(AND(AC139=AD139,OR(AB139="",AE139="")),"W"&amp;AH139,IF(AND(AC139=AD139,AB139&gt;AE139),AA139,AF139))))))</f>
        <v>W102</v>
      </c>
      <c r="E139" s="16">
        <v>99</v>
      </c>
      <c r="F139" s="16">
        <v>100</v>
      </c>
      <c r="G139" s="16"/>
      <c r="H139" s="16" t="str">
        <f>IF(AND(OR(AC139="",AD139="")),"L102",IF(AC139&gt;AD139,AF139,IF(AC139&lt;AD139,AA139,IF(AND(AC139=AD139,AB139=AE139),"W102",IF(AND(AC139=AD139,OR(AB139="",AE139="")),"L102",IF(AND(AC139=AD139,AB139&gt;AE139),AF139,AA139))))))</f>
        <v>L102</v>
      </c>
      <c r="I139" s="16"/>
      <c r="J139" s="16">
        <v>102</v>
      </c>
      <c r="K139" s="16">
        <v>46218.875</v>
      </c>
      <c r="L139" s="16" t="s">
        <v>726</v>
      </c>
      <c r="M139" s="16" t="str">
        <f>+INDEX($D$101:$D$147,MATCH(E139,$AH$101:$AH$147,0))</f>
        <v>W99</v>
      </c>
      <c r="N139" s="16" t="str">
        <f>+INDEX($D$101:$D$147,MATCH(F139,$AH$101:$AH$147,0))</f>
        <v>W100</v>
      </c>
      <c r="O139" s="16"/>
      <c r="P139" s="16"/>
      <c r="Q139" s="16"/>
      <c r="R139" s="16"/>
      <c r="S139" s="16"/>
      <c r="T139" s="16"/>
      <c r="U139" s="16"/>
      <c r="V139" s="17"/>
      <c r="W139" s="682"/>
      <c r="X139" s="123">
        <f ca="1">Horarios!C139</f>
        <v>46218.875</v>
      </c>
      <c r="Y139" s="124">
        <f ca="1">Horarios!C139</f>
        <v>46218.875</v>
      </c>
      <c r="Z139" s="284">
        <f t="shared" si="326"/>
        <v>102</v>
      </c>
      <c r="AA139" s="139" t="str">
        <f t="shared" si="327"/>
        <v>W99</v>
      </c>
      <c r="AB139" s="140"/>
      <c r="AC139" s="100"/>
      <c r="AD139" s="100"/>
      <c r="AE139" s="140"/>
      <c r="AF139" s="141" t="str">
        <f>+INDEX($N$101:$N$147,MATCH(AH139,$J$101:$J$147,0))</f>
        <v>W100</v>
      </c>
      <c r="AG139" s="327">
        <f>IF(D139="W"&amp;AH139,0,1)</f>
        <v>0</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IF(AND(OR(AC143="",AD143="")),"W"&amp;AH143,IF(AC143&gt;AD143,AA143,IF(AC143&lt;AD143,AF143,IF(AND(AC143=AD143,AB143=AE143),"W"&amp;AH143,IF(AND(AC143=AD143,OR(AB143="",AE143="")),"W"&amp;AH143,IF(AND(AC143=AD143,AB143&gt;AE143),AA143,AF143))))))</f>
        <v>W103</v>
      </c>
      <c r="E143" s="16">
        <v>101</v>
      </c>
      <c r="F143" s="16">
        <v>102</v>
      </c>
      <c r="G143" s="16"/>
      <c r="H143" s="16"/>
      <c r="I143" s="16"/>
      <c r="J143" s="16">
        <v>103</v>
      </c>
      <c r="K143" s="16">
        <v>46221.875</v>
      </c>
      <c r="L143" s="16" t="s">
        <v>727</v>
      </c>
      <c r="M143" s="16" t="str">
        <f>+INDEX($D$101:$D$147,MATCH(E143,$AH$101:$AH$147,0))</f>
        <v>W101</v>
      </c>
      <c r="N143" s="16" t="str">
        <f>+INDEX($D$101:$D$147,MATCH(F143,$AH$101:$AH$147,0))</f>
        <v>W102</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IF(AND(OR(AC138="",AD138="")),"L101",IF(AC138&gt;AD138,AF138,IF(AC138&lt;AD138,AA138,IF(AND(AC138=AD138,AB138=AE138),"L101",IF(AND(AC138=AD138,OR(AB138="",AE138="")),"L101",IF(AND(AC138=AD138,AB138&gt;AE138),AF138,AA138))))))</f>
        <v>L101</v>
      </c>
      <c r="AB143" s="216"/>
      <c r="AC143" s="105"/>
      <c r="AD143" s="105"/>
      <c r="AE143" s="216"/>
      <c r="AF143" s="106" t="str">
        <f>IF(AND(OR(AC139="",AD139="")),"L102",IF(AC139&gt;AD139,AF139,IF(AC139&lt;AD139,AA139,IF(AND(AC139=AD139,AB139=AE139),"L102",IF(AND(AC139=AD139,OR(AB139="",AE139="")),"L102",IF(AND(AC139=AD139,AB139&gt;AE139),AF139,AA139))))))</f>
        <v>L102</v>
      </c>
      <c r="AG143" s="327">
        <f>IF(D143="W"&amp;AH143,0,1)</f>
        <v>0</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IF(AND(OR(AC147="",AD147="")),"W"&amp;AH147,IF(AC147&gt;AD147,AA147,IF(AC147&lt;AD147,AF147,IF(AND(AC147=AD147,AB147=AE147),"W"&amp;AH147,IF(AND(AC147=AD147,OR(AB147="",AE147="")),"W"&amp;AH147,IF(AND(AC147=AD147,AB147&gt;AE147),AA147,AF147))))))</f>
        <v>W104</v>
      </c>
      <c r="E147" s="16">
        <v>101</v>
      </c>
      <c r="F147" s="16">
        <v>102</v>
      </c>
      <c r="G147" s="16"/>
      <c r="H147" s="16" t="str">
        <f>IF(AND(OR(AC147="",AD147="")),"LF",IF(AC147&gt;AD147,AF147,IF(AC147&lt;AD147,AA147,IF(AND(AC147=AD147,AB147=AE147),"LF",IF(AND(AC147=AD147,OR(AB147="",AE147="")),"LF",IF(AND(AC147=AD147,AB147&gt;AE147),AF147,AA147))))))</f>
        <v>LF</v>
      </c>
      <c r="I147" s="16"/>
      <c r="J147" s="16">
        <v>104</v>
      </c>
      <c r="K147" s="16">
        <v>46222.875</v>
      </c>
      <c r="L147" s="16" t="s">
        <v>728</v>
      </c>
      <c r="M147" s="16" t="str">
        <f>+INDEX($D$101:$D$147,MATCH(E147,$AH$101:$AH$147,0))</f>
        <v>W101</v>
      </c>
      <c r="N147" s="16" t="str">
        <f>+INDEX($D$101:$D$147,MATCH(F147,$AH$101:$AH$147,0))</f>
        <v>W102</v>
      </c>
      <c r="O147" s="16"/>
      <c r="P147" s="16"/>
      <c r="Q147" s="16"/>
      <c r="R147" s="16"/>
      <c r="S147" s="16"/>
      <c r="T147" s="16"/>
      <c r="U147" s="16"/>
      <c r="V147" s="17"/>
      <c r="W147" s="143" t="s">
        <v>4</v>
      </c>
      <c r="X147" s="123">
        <f ca="1">Horarios!C147</f>
        <v>46222.875</v>
      </c>
      <c r="Y147" s="124">
        <f ca="1">Horarios!C147</f>
        <v>46222.875</v>
      </c>
      <c r="Z147" s="285">
        <f>AH147</f>
        <v>104</v>
      </c>
      <c r="AA147" s="104" t="str">
        <f>IF(AND(OR(AC138="",AD138="")),"W"&amp;AH138,IF(AC138&gt;AD138,AA138,IF(AC138&lt;AD138,AF138,IF(AND(AC138=AD138,AB138=AE138),"W"&amp;AH138,IF(AND(AC138=AD138,OR(AB138="",AE138="")),"W"&amp;AH138,IF(AND(AC138=AD138,AB138&gt;AE138),AA138,AF138))))))</f>
        <v>W101</v>
      </c>
      <c r="AB147" s="216"/>
      <c r="AC147" s="105"/>
      <c r="AD147" s="105"/>
      <c r="AE147" s="216"/>
      <c r="AF147" s="106" t="str">
        <f>IF(AND(OR(AC139="",AD139="")),"W"&amp;AH139,IF(AC139&gt;AD139,AA139,IF(AC139&lt;AD139,AF139,IF(AND(AC139=AD139,AB139=AE139),"W"&amp;AH139,IF(AND(AC139=AD139,OR(AB139="",AE139="")),"W"&amp;AH139,IF(AND(AC139=AD139,AB139&gt;AE139),AA139,AF139))))))</f>
        <v>W102</v>
      </c>
      <c r="AG147" s="327">
        <f>IF(D147="W"&amp;AH147,0,1)</f>
        <v>0</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IF(AND(OR(AC147="",AD147="")),"WF",IF(AC147&gt;AD147,AA147,IF(AC147&lt;AD147,AF147,IF(AND(AC147=AD147,AB147=AE147),"WF",IF(AND(AC147=AD147,OR(AB147="",AE147="")),"WF",IF(AND(AC147=AD147,AB147&gt;AE147),AA147,AF147))))))</f>
        <v>WF</v>
      </c>
      <c r="AB150" s="132"/>
      <c r="AC150" s="132"/>
      <c r="AD150" s="132"/>
      <c r="AE150" s="132"/>
      <c r="AF150" s="133"/>
      <c r="AG150" s="327">
        <f>IF(AA150="WF",0,1)</f>
        <v>0</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IF(AND(OR(AC147="",AD147="")),"LF",IF(AC147&gt;AD147,AF147,IF(AC147&lt;AD147,AA147,IF(AND(AC147=AD147,AB147=AE147),"LF",IF(AND(AC147=AD147,OR(AB147="",AE147="")),"LF",IF(AND(AC147=AD147,AB147&gt;AE147),AF147,AA147))))))</f>
        <v>LF</v>
      </c>
      <c r="AB151" s="111"/>
      <c r="AC151" s="111"/>
      <c r="AD151" s="111"/>
      <c r="AE151" s="111"/>
      <c r="AF151" s="107"/>
      <c r="AG151" s="327">
        <f>IF(AA151="LF",0,1)</f>
        <v>0</v>
      </c>
      <c r="AH151" s="184"/>
      <c r="AI151" s="184"/>
      <c r="AJ151" s="643" t="str">
        <f>IF(SUM(COUNTIF(AG4:AG97,0),COUNTIF(AG101:AG160,0)&gt;0),AL148,AL149)</f>
        <v>INCOMPLETE POOL:</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IF(AND(OR(AC143="",AD143="")),"W34",IF(AC143&gt;AD143,AA143,IF(AC143&lt;AD143,AF143,IF(AND(AC143=AD143,AB143=AE143),"W34",IF(AND(AC143=AD143,OR(AB143="",AE143="")),"W34",IF(AND(AC143=AD143,AB143&gt;AE143),AA143,AF143))))))</f>
        <v>W34</v>
      </c>
      <c r="AB152" s="110"/>
      <c r="AC152" s="110"/>
      <c r="AD152" s="110"/>
      <c r="AE152" s="110"/>
      <c r="AF152" s="103"/>
      <c r="AG152" s="327">
        <f>IF(AA152="W34",0,1)</f>
        <v>0</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1516</v>
      </c>
      <c r="AB155" s="400"/>
      <c r="AC155" s="400"/>
      <c r="AD155" s="400"/>
      <c r="AE155" s="400"/>
      <c r="AF155" s="401"/>
      <c r="AG155" s="327">
        <f>IF(AA155=$AH$154,0,IF(AA155="",0,1))</f>
        <v>1</v>
      </c>
      <c r="AH155" s="184"/>
      <c r="AI155" s="184"/>
      <c r="AJ155" s="657" t="str">
        <f>IF(SUM(COUNTIF(AG4:AG97,0),COUNTIF(AG101:AG160,0)&gt;0),AM148,AM149)</f>
        <v>You may have left over some match-ups without prediction or you may have not written your name</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1516</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1516</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725" t="s">
        <v>1516</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163"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Name</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0|-</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0|-</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0|-</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0|-</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0|-</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0|-</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0|-</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0|-</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0|-</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0|-</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0|-</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0|-</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0|-</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0|-</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0|-</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0|-</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0|-</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0|-</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0|-</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0|-</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0|-</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0|-</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0|-</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0|-</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0|-</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0|-</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0|-</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0|-</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0|-</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1st GROUP 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2nd GROUP 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3rd GROUP 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4th GROUP 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1st GROUP B</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2nd GROUP B</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3rd GROUP B</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4th GROUP B</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1st GROUP C</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2nd GROUP C</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3rd GROUP C</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4th GROUP C</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1st GROUP D</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2nd GROUP D</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3rd GROUP D</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4th GROUP D</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1st GROUP E</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2nd GROUP E</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3rd GROUP E</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4th GROUP E</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1st GROUP F</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2nd GROUP F</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3rd GROUP F</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4th GROUP F</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1st GROUP G</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2nd GROUP G</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3rd GROUP G</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4th GROUP G</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1st GROUP H</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2nd GROUP H</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3rd GROUP H</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4th GROUP H</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1st GROUP I</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2nd GROUP I</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3rd GROUP I</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4th GROUP I</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1st GROUP J</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2nd GROUP J</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3rd GROUP J</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4th GROUP J</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1st GROUP K</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2nd GROUP K</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3rd GROUP K</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4th GROUP K</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1st GROUP L</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2nd GROUP L</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3rd GROUP L</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4th GROUP L</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2A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1C</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1E</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1F</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2E</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1I</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1A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1L</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1G</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1D</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1H</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2K</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1B</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2D</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1J</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1K</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2B</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2F</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3ABCDF</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2C</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2I</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3CDFGH</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3CEFHI</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3EHIJK</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3AEHIJ</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3BEFIJ</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2J</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2L</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3EFGIJ</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2G</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2H</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3DEIJL</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2A-2B</v>
      </c>
      <c r="C164" s="349" t="str">
        <f ca="1">CONCATENATE(WORLDCUP!AA101,"-",WORLDCUP!AF101,"·",IF(WORLDCUP!AC101&gt;WORLDCUP!AD101,1,IF(WORLDCUP!AC101&lt;WORLDCUP!AD101,2,IF(AND(WORLDCUP!AC101=WORLDCUP!AD101,WORLDCUP!AC101&lt;&gt;"",WORLDCUP!AD101&lt;&gt;""),"X",0))),"|",WORLDCUP!AC101,"-",WORLDCUP!AD101)</f>
        <v>2A-2B·0|-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1C-2F</v>
      </c>
      <c r="C165" s="349" t="str">
        <f ca="1">CONCATENATE(WORLDCUP!AA102,"-",WORLDCUP!AF102,"·",IF(WORLDCUP!AC102&gt;WORLDCUP!AD102,1,IF(WORLDCUP!AC102&lt;WORLDCUP!AD102,2,IF(AND(WORLDCUP!AC102=WORLDCUP!AD102,WORLDCUP!AC102&lt;&gt;"",WORLDCUP!AD102&lt;&gt;""),"X",0))),"|",WORLDCUP!AC102,"-",WORLDCUP!AD102)</f>
        <v>1C-2F·0|-</v>
      </c>
      <c r="D165" s="706"/>
      <c r="E165" s="692"/>
      <c r="F165" s="692"/>
      <c r="G165" s="692"/>
      <c r="H165" s="692"/>
      <c r="I165" s="352"/>
      <c r="J165" s="370"/>
      <c r="K165" s="370"/>
      <c r="L165" s="370"/>
      <c r="M165" s="386"/>
      <c r="N165" s="377"/>
    </row>
    <row r="166" spans="1:14" ht="15" customHeight="1">
      <c r="A166" s="703"/>
      <c r="B166" s="360" t="str">
        <f ca="1">CONCATENATE(WORLDCUP!AA103,"-",WORLDCUP!AF103)</f>
        <v>1E-3ABCDF</v>
      </c>
      <c r="C166" s="349" t="str">
        <f ca="1">CONCATENATE(WORLDCUP!AA103,"-",WORLDCUP!AF103,"·",IF(WORLDCUP!AC103&gt;WORLDCUP!AD103,1,IF(WORLDCUP!AC103&lt;WORLDCUP!AD103,2,IF(AND(WORLDCUP!AC103=WORLDCUP!AD103,WORLDCUP!AC103&lt;&gt;"",WORLDCUP!AD103&lt;&gt;""),"X",0))),"|",WORLDCUP!AC103,"-",WORLDCUP!AD103)</f>
        <v>1E-3ABCDF·0|-</v>
      </c>
      <c r="D166" s="706"/>
      <c r="E166" s="692"/>
      <c r="F166" s="692"/>
      <c r="G166" s="692"/>
      <c r="H166" s="692"/>
      <c r="I166" s="352"/>
      <c r="J166" s="370"/>
      <c r="K166" s="370"/>
      <c r="L166" s="370"/>
      <c r="M166" s="386"/>
      <c r="N166" s="377"/>
    </row>
    <row r="167" spans="1:14" ht="15" customHeight="1">
      <c r="A167" s="703"/>
      <c r="B167" s="360" t="str">
        <f ca="1">CONCATENATE(WORLDCUP!AA104,"-",WORLDCUP!AF104)</f>
        <v>1F-2C</v>
      </c>
      <c r="C167" s="349" t="str">
        <f ca="1">CONCATENATE(WORLDCUP!AA104,"-",WORLDCUP!AF104,"·",IF(WORLDCUP!AC104&gt;WORLDCUP!AD104,1,IF(WORLDCUP!AC104&lt;WORLDCUP!AD104,2,IF(AND(WORLDCUP!AC104=WORLDCUP!AD104,WORLDCUP!AC104&lt;&gt;"",WORLDCUP!AD104&lt;&gt;""),"X",0))),"|",WORLDCUP!AC104,"-",WORLDCUP!AD104)</f>
        <v>1F-2C·0|-</v>
      </c>
      <c r="D167" s="706"/>
      <c r="E167" s="692"/>
      <c r="F167" s="692"/>
      <c r="G167" s="692"/>
      <c r="H167" s="692"/>
      <c r="I167" s="352"/>
      <c r="J167" s="370"/>
      <c r="K167" s="370"/>
      <c r="L167" s="370"/>
      <c r="M167" s="386"/>
      <c r="N167" s="377"/>
    </row>
    <row r="168" spans="1:14" ht="15" customHeight="1">
      <c r="A168" s="703"/>
      <c r="B168" s="360" t="str">
        <f ca="1">CONCATENATE(WORLDCUP!AA105,"-",WORLDCUP!AF105)</f>
        <v>2E-2I</v>
      </c>
      <c r="C168" s="349" t="str">
        <f ca="1">CONCATENATE(WORLDCUP!AA105,"-",WORLDCUP!AF105,"·",IF(WORLDCUP!AC105&gt;WORLDCUP!AD105,1,IF(WORLDCUP!AC105&lt;WORLDCUP!AD105,2,IF(AND(WORLDCUP!AC105=WORLDCUP!AD105,WORLDCUP!AC105&lt;&gt;"",WORLDCUP!AD105&lt;&gt;""),"X",0))),"|",WORLDCUP!AC105,"-",WORLDCUP!AD105)</f>
        <v>2E-2I·0|-</v>
      </c>
      <c r="D168" s="706"/>
      <c r="E168" s="370"/>
      <c r="F168" s="370"/>
      <c r="G168" s="370"/>
      <c r="H168" s="370"/>
      <c r="I168" s="352"/>
      <c r="J168" s="370"/>
      <c r="K168" s="370"/>
      <c r="L168" s="370"/>
      <c r="M168" s="386"/>
      <c r="N168" s="377"/>
    </row>
    <row r="169" spans="1:14" ht="15" customHeight="1">
      <c r="A169" s="703"/>
      <c r="B169" s="360" t="str">
        <f ca="1">CONCATENATE(WORLDCUP!AA106,"-",WORLDCUP!AF106)</f>
        <v>1I-3CDFGH</v>
      </c>
      <c r="C169" s="349" t="str">
        <f ca="1">CONCATENATE(WORLDCUP!AA106,"-",WORLDCUP!AF106,"·",IF(WORLDCUP!AC106&gt;WORLDCUP!AD106,1,IF(WORLDCUP!AC106&lt;WORLDCUP!AD106,2,IF(AND(WORLDCUP!AC106=WORLDCUP!AD106,WORLDCUP!AC106&lt;&gt;"",WORLDCUP!AD106&lt;&gt;""),"X",0))),"|",WORLDCUP!AC106,"-",WORLDCUP!AD106)</f>
        <v>1I-3CDFGH·0|-</v>
      </c>
      <c r="D169" s="706"/>
      <c r="E169" s="370"/>
      <c r="F169" s="370"/>
      <c r="G169" s="370"/>
      <c r="H169" s="370"/>
      <c r="I169" s="352"/>
      <c r="J169" s="370"/>
      <c r="K169" s="370"/>
      <c r="L169" s="370"/>
      <c r="M169" s="386"/>
      <c r="N169" s="377"/>
    </row>
    <row r="170" spans="1:14" ht="15" customHeight="1">
      <c r="A170" s="703"/>
      <c r="B170" s="360" t="str">
        <f ca="1">CONCATENATE(WORLDCUP!AA107,"-",WORLDCUP!AF107)</f>
        <v>1A-3CEFHI</v>
      </c>
      <c r="C170" s="349" t="str">
        <f ca="1">CONCATENATE(WORLDCUP!AA107,"-",WORLDCUP!AF107,"·",IF(WORLDCUP!AC107&gt;WORLDCUP!AD107,1,IF(WORLDCUP!AC107&lt;WORLDCUP!AD107,2,IF(AND(WORLDCUP!AC107=WORLDCUP!AD107,WORLDCUP!AC107&lt;&gt;"",WORLDCUP!AD107&lt;&gt;""),"X",0))),"|",WORLDCUP!AC107,"-",WORLDCUP!AD107)</f>
        <v>1A-3CEFHI·0|-</v>
      </c>
      <c r="D170" s="706"/>
      <c r="E170" s="370"/>
      <c r="F170" s="370"/>
      <c r="G170" s="370"/>
      <c r="H170" s="370"/>
      <c r="I170" s="352"/>
      <c r="J170" s="370"/>
      <c r="K170" s="370"/>
      <c r="L170" s="370"/>
      <c r="M170" s="386"/>
      <c r="N170" s="377"/>
    </row>
    <row r="171" spans="1:14" ht="15" customHeight="1">
      <c r="A171" s="703"/>
      <c r="B171" s="360" t="str">
        <f ca="1">CONCATENATE(WORLDCUP!AA108,"-",WORLDCUP!AF108)</f>
        <v>1L-3EHIJK</v>
      </c>
      <c r="C171" s="349" t="str">
        <f ca="1">CONCATENATE(WORLDCUP!AA108,"-",WORLDCUP!AF108,"·",IF(WORLDCUP!AC108&gt;WORLDCUP!AD108,1,IF(WORLDCUP!AC108&lt;WORLDCUP!AD108,2,IF(AND(WORLDCUP!AC108=WORLDCUP!AD108,WORLDCUP!AC108&lt;&gt;"",WORLDCUP!AD108&lt;&gt;""),"X",0))),"|",WORLDCUP!AC108,"-",WORLDCUP!AD108)</f>
        <v>1L-3EHIJK·0|-</v>
      </c>
      <c r="D171" s="706"/>
      <c r="E171" s="370"/>
      <c r="F171" s="370"/>
      <c r="G171" s="370"/>
      <c r="H171" s="370"/>
      <c r="I171" s="352"/>
      <c r="J171" s="370"/>
      <c r="K171" s="370"/>
      <c r="L171" s="370"/>
      <c r="M171" s="386"/>
      <c r="N171" s="377"/>
    </row>
    <row r="172" spans="1:14" ht="15" customHeight="1">
      <c r="A172" s="703"/>
      <c r="B172" s="360" t="str">
        <f ca="1">CONCATENATE(WORLDCUP!AA109,"-",WORLDCUP!AF109)</f>
        <v>1G-3AEHIJ</v>
      </c>
      <c r="C172" s="349" t="str">
        <f ca="1">CONCATENATE(WORLDCUP!AA109,"-",WORLDCUP!AF109,"·",IF(WORLDCUP!AC109&gt;WORLDCUP!AD109,1,IF(WORLDCUP!AC109&lt;WORLDCUP!AD109,2,IF(AND(WORLDCUP!AC109=WORLDCUP!AD109,WORLDCUP!AC109&lt;&gt;"",WORLDCUP!AD109&lt;&gt;""),"X",0))),"|",WORLDCUP!AC109,"-",WORLDCUP!AD109)</f>
        <v>1G-3AEHIJ·0|-</v>
      </c>
      <c r="D172" s="706"/>
      <c r="E172" s="370"/>
      <c r="F172" s="370"/>
      <c r="G172" s="370"/>
      <c r="H172" s="370"/>
      <c r="I172" s="352"/>
      <c r="J172" s="370"/>
      <c r="K172" s="370"/>
      <c r="L172" s="370"/>
      <c r="M172" s="386"/>
      <c r="N172" s="377"/>
    </row>
    <row r="173" spans="1:14" ht="15" customHeight="1">
      <c r="A173" s="703"/>
      <c r="B173" s="360" t="str">
        <f ca="1">CONCATENATE(WORLDCUP!AA110,"-",WORLDCUP!AF110)</f>
        <v>1D-3BEFIJ</v>
      </c>
      <c r="C173" s="349" t="str">
        <f ca="1">CONCATENATE(WORLDCUP!AA110,"-",WORLDCUP!AF110,"·",IF(WORLDCUP!AC110&gt;WORLDCUP!AD110,1,IF(WORLDCUP!AC110&lt;WORLDCUP!AD110,2,IF(AND(WORLDCUP!AC110=WORLDCUP!AD110,WORLDCUP!AC110&lt;&gt;"",WORLDCUP!AD110&lt;&gt;""),"X",0))),"|",WORLDCUP!AC110,"-",WORLDCUP!AD110)</f>
        <v>1D-3BEFIJ·0|-</v>
      </c>
      <c r="D173" s="706"/>
      <c r="E173" s="370"/>
      <c r="F173" s="370"/>
      <c r="G173" s="370"/>
      <c r="H173" s="370"/>
      <c r="I173" s="352"/>
      <c r="J173" s="370"/>
      <c r="K173" s="370"/>
      <c r="L173" s="370"/>
      <c r="M173" s="386"/>
      <c r="N173" s="377"/>
    </row>
    <row r="174" spans="1:14" ht="15" customHeight="1">
      <c r="A174" s="703"/>
      <c r="B174" s="360" t="str">
        <f ca="1">CONCATENATE(WORLDCUP!AA111,"-",WORLDCUP!AF111)</f>
        <v>1H-2J</v>
      </c>
      <c r="C174" s="349" t="str">
        <f ca="1">CONCATENATE(WORLDCUP!AA111,"-",WORLDCUP!AF111,"·",IF(WORLDCUP!AC111&gt;WORLDCUP!AD111,1,IF(WORLDCUP!AC111&lt;WORLDCUP!AD111,2,IF(AND(WORLDCUP!AC111=WORLDCUP!AD111,WORLDCUP!AC111&lt;&gt;"",WORLDCUP!AD111&lt;&gt;""),"X",0))),"|",WORLDCUP!AC111,"-",WORLDCUP!AD111)</f>
        <v>1H-2J·0|-</v>
      </c>
      <c r="D174" s="706"/>
      <c r="E174" s="370"/>
      <c r="F174" s="370"/>
      <c r="G174" s="370"/>
      <c r="H174" s="370"/>
      <c r="I174" s="352"/>
      <c r="J174" s="370"/>
      <c r="K174" s="370"/>
      <c r="L174" s="370"/>
      <c r="M174" s="386"/>
      <c r="N174" s="377"/>
    </row>
    <row r="175" spans="1:14" ht="15" customHeight="1">
      <c r="A175" s="703"/>
      <c r="B175" s="360" t="str">
        <f ca="1">CONCATENATE(WORLDCUP!AA112,"-",WORLDCUP!AF112)</f>
        <v>2K-2L</v>
      </c>
      <c r="C175" s="349" t="str">
        <f ca="1">CONCATENATE(WORLDCUP!AA112,"-",WORLDCUP!AF112,"·",IF(WORLDCUP!AC112&gt;WORLDCUP!AD112,1,IF(WORLDCUP!AC112&lt;WORLDCUP!AD112,2,IF(AND(WORLDCUP!AC112=WORLDCUP!AD112,WORLDCUP!AC112&lt;&gt;"",WORLDCUP!AD112&lt;&gt;""),"X",0))),"|",WORLDCUP!AC112,"-",WORLDCUP!AD112)</f>
        <v>2K-2L·0|-</v>
      </c>
      <c r="D175" s="706"/>
      <c r="E175" s="370"/>
      <c r="F175" s="370"/>
      <c r="G175" s="370"/>
      <c r="H175" s="370"/>
      <c r="I175" s="352"/>
      <c r="J175" s="370"/>
      <c r="K175" s="370"/>
      <c r="L175" s="370"/>
      <c r="M175" s="386"/>
      <c r="N175" s="377"/>
    </row>
    <row r="176" spans="1:14" ht="15" customHeight="1">
      <c r="A176" s="703"/>
      <c r="B176" s="360" t="str">
        <f ca="1">CONCATENATE(WORLDCUP!AA113,"-",WORLDCUP!AF113)</f>
        <v>1B-3EFGIJ</v>
      </c>
      <c r="C176" s="349" t="str">
        <f ca="1">CONCATENATE(WORLDCUP!AA113,"-",WORLDCUP!AF113,"·",IF(WORLDCUP!AC113&gt;WORLDCUP!AD113,1,IF(WORLDCUP!AC113&lt;WORLDCUP!AD113,2,IF(AND(WORLDCUP!AC113=WORLDCUP!AD113,WORLDCUP!AC113&lt;&gt;"",WORLDCUP!AD113&lt;&gt;""),"X",0))),"|",WORLDCUP!AC113,"-",WORLDCUP!AD113)</f>
        <v>1B-3EFGIJ·0|-</v>
      </c>
      <c r="D176" s="706"/>
      <c r="E176" s="370"/>
      <c r="F176" s="370"/>
      <c r="G176" s="370"/>
      <c r="H176" s="370"/>
      <c r="I176" s="352"/>
      <c r="J176" s="370"/>
      <c r="K176" s="370"/>
      <c r="L176" s="370"/>
      <c r="M176" s="386"/>
      <c r="N176" s="377"/>
    </row>
    <row r="177" spans="1:14" ht="15" customHeight="1">
      <c r="A177" s="703"/>
      <c r="B177" s="360" t="str">
        <f ca="1">CONCATENATE(WORLDCUP!AA114,"-",WORLDCUP!AF114)</f>
        <v>2D-2G</v>
      </c>
      <c r="C177" s="349" t="str">
        <f ca="1">CONCATENATE(WORLDCUP!AA114,"-",WORLDCUP!AF114,"·",IF(WORLDCUP!AC114&gt;WORLDCUP!AD114,1,IF(WORLDCUP!AC114&lt;WORLDCUP!AD114,2,IF(AND(WORLDCUP!AC114=WORLDCUP!AD114,WORLDCUP!AC114&lt;&gt;"",WORLDCUP!AD114&lt;&gt;""),"X",0))),"|",WORLDCUP!AC114,"-",WORLDCUP!AD114)</f>
        <v>2D-2G·0|-</v>
      </c>
      <c r="D177" s="706"/>
      <c r="E177" s="370"/>
      <c r="F177" s="370"/>
      <c r="G177" s="370"/>
      <c r="H177" s="370"/>
      <c r="I177" s="352"/>
      <c r="J177" s="370"/>
      <c r="K177" s="370"/>
      <c r="L177" s="370"/>
      <c r="M177" s="386"/>
      <c r="N177" s="377"/>
    </row>
    <row r="178" spans="1:14" ht="15" customHeight="1">
      <c r="A178" s="703"/>
      <c r="B178" s="360" t="str">
        <f ca="1">CONCATENATE(WORLDCUP!AA115,"-",WORLDCUP!AF115)</f>
        <v>1J-2H</v>
      </c>
      <c r="C178" s="349" t="str">
        <f ca="1">CONCATENATE(WORLDCUP!AA115,"-",WORLDCUP!AF115,"·",IF(WORLDCUP!AC115&gt;WORLDCUP!AD115,1,IF(WORLDCUP!AC115&lt;WORLDCUP!AD115,2,IF(AND(WORLDCUP!AC115=WORLDCUP!AD115,WORLDCUP!AC115&lt;&gt;"",WORLDCUP!AD115&lt;&gt;""),"X",0))),"|",WORLDCUP!AC115,"-",WORLDCUP!AD115)</f>
        <v>1J-2H·0|-</v>
      </c>
      <c r="D178" s="706"/>
      <c r="E178" s="370"/>
      <c r="F178" s="370"/>
      <c r="G178" s="370"/>
      <c r="H178" s="370"/>
      <c r="I178" s="352"/>
      <c r="J178" s="370"/>
      <c r="K178" s="370"/>
      <c r="L178" s="370"/>
      <c r="M178" s="386"/>
      <c r="N178" s="377"/>
    </row>
    <row r="179" spans="1:14" ht="15" customHeight="1">
      <c r="A179" s="703"/>
      <c r="B179" s="360" t="str">
        <f ca="1">CONCATENATE(WORLDCUP!AA116,"-",WORLDCUP!AF116)</f>
        <v>1K-3DEIJL</v>
      </c>
      <c r="C179" s="349" t="str">
        <f ca="1">CONCATENATE(WORLDCUP!AA116,"-",WORLDCUP!AF116,"·",IF(WORLDCUP!AC116&gt;WORLDCUP!AD116,1,IF(WORLDCUP!AC116&lt;WORLDCUP!AD116,2,IF(AND(WORLDCUP!AC116=WORLDCUP!AD116,WORLDCUP!AC116&lt;&gt;"",WORLDCUP!AD116&lt;&gt;""),"X",0))),"|",WORLDCUP!AC116,"-",WORLDCUP!AD116)</f>
        <v>1K-3DEIJL·0|-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WORLDCUP!AA120</f>
        <v>W73</v>
      </c>
      <c r="D182" s="706"/>
      <c r="E182" s="370"/>
      <c r="F182" s="370"/>
      <c r="G182" s="370"/>
      <c r="H182" s="370"/>
      <c r="I182" s="352"/>
      <c r="J182" s="370"/>
      <c r="K182" s="370"/>
      <c r="L182" s="370"/>
      <c r="M182" s="386"/>
      <c r="N182" s="377"/>
    </row>
    <row r="183" spans="1:14" ht="15" customHeight="1">
      <c r="A183" s="703"/>
      <c r="B183" s="360" t="str">
        <f>B182</f>
        <v>8-Finalist</v>
      </c>
      <c r="C183" s="349" t="str">
        <f>WORLDCUP!AA121</f>
        <v>W74</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WORLDCUP!AA122</f>
        <v>W76</v>
      </c>
      <c r="D184" s="706"/>
      <c r="E184" s="370"/>
      <c r="F184" s="370"/>
      <c r="G184" s="370"/>
      <c r="H184" s="370"/>
      <c r="I184" s="352"/>
      <c r="J184" s="370"/>
      <c r="K184" s="370"/>
      <c r="L184" s="370"/>
      <c r="M184" s="386"/>
      <c r="N184" s="377"/>
    </row>
    <row r="185" spans="1:14" ht="15" customHeight="1">
      <c r="A185" s="703"/>
      <c r="B185" s="360" t="str">
        <f t="shared" si="2"/>
        <v>8-Finalist</v>
      </c>
      <c r="C185" s="349" t="str">
        <f>WORLDCUP!AA123</f>
        <v>W79</v>
      </c>
      <c r="D185" s="706"/>
      <c r="E185" s="370"/>
      <c r="F185" s="370"/>
      <c r="G185" s="370"/>
      <c r="H185" s="370"/>
      <c r="I185" s="352"/>
      <c r="J185" s="370"/>
      <c r="K185" s="370"/>
      <c r="L185" s="370"/>
      <c r="M185" s="386"/>
      <c r="N185" s="377"/>
    </row>
    <row r="186" spans="1:14" ht="15" customHeight="1">
      <c r="A186" s="703"/>
      <c r="B186" s="360" t="str">
        <f t="shared" si="2"/>
        <v>8-Finalist</v>
      </c>
      <c r="C186" s="349" t="str">
        <f>WORLDCUP!AA124</f>
        <v>W83</v>
      </c>
      <c r="D186" s="706"/>
      <c r="E186" s="370"/>
      <c r="F186" s="370"/>
      <c r="G186" s="370"/>
      <c r="H186" s="370"/>
      <c r="I186" s="352"/>
      <c r="J186" s="370"/>
      <c r="K186" s="370"/>
      <c r="L186" s="370"/>
      <c r="M186" s="386"/>
      <c r="N186" s="377"/>
    </row>
    <row r="187" spans="1:14" ht="15" customHeight="1">
      <c r="A187" s="703"/>
      <c r="B187" s="360" t="str">
        <f t="shared" si="2"/>
        <v>8-Finalist</v>
      </c>
      <c r="C187" s="349" t="str">
        <f>WORLDCUP!AA125</f>
        <v>W81</v>
      </c>
      <c r="D187" s="706"/>
      <c r="E187" s="370"/>
      <c r="F187" s="370"/>
      <c r="G187" s="370"/>
      <c r="H187" s="370"/>
      <c r="I187" s="352"/>
      <c r="J187" s="370"/>
      <c r="K187" s="370"/>
      <c r="L187" s="370"/>
      <c r="M187" s="386"/>
      <c r="N187" s="377"/>
    </row>
    <row r="188" spans="1:14" ht="15" customHeight="1">
      <c r="A188" s="703"/>
      <c r="B188" s="360" t="str">
        <f t="shared" si="2"/>
        <v>8-Finalist</v>
      </c>
      <c r="C188" s="349" t="str">
        <f>WORLDCUP!AA126</f>
        <v>W86</v>
      </c>
      <c r="D188" s="706"/>
      <c r="E188" s="370"/>
      <c r="F188" s="370"/>
      <c r="G188" s="370"/>
      <c r="H188" s="370"/>
      <c r="I188" s="352"/>
      <c r="J188" s="370"/>
      <c r="K188" s="370"/>
      <c r="L188" s="370"/>
      <c r="M188" s="386"/>
      <c r="N188" s="377"/>
    </row>
    <row r="189" spans="1:14" ht="15" customHeight="1">
      <c r="A189" s="703"/>
      <c r="B189" s="360" t="str">
        <f t="shared" si="2"/>
        <v>8-Finalist</v>
      </c>
      <c r="C189" s="349" t="str">
        <f>WORLDCUP!AA127</f>
        <v>W85</v>
      </c>
      <c r="D189" s="706"/>
      <c r="E189" s="370"/>
      <c r="F189" s="370"/>
      <c r="G189" s="370"/>
      <c r="H189" s="370"/>
      <c r="I189" s="352"/>
      <c r="J189" s="370"/>
      <c r="K189" s="370"/>
      <c r="L189" s="370"/>
      <c r="M189" s="386"/>
      <c r="N189" s="377"/>
    </row>
    <row r="190" spans="1:14" ht="15" customHeight="1">
      <c r="A190" s="703"/>
      <c r="B190" s="360" t="str">
        <f t="shared" si="2"/>
        <v>8-Finalist</v>
      </c>
      <c r="C190" s="349" t="str">
        <f>WORLDCUP!AF120</f>
        <v>W75</v>
      </c>
      <c r="D190" s="706"/>
      <c r="E190" s="370"/>
      <c r="F190" s="370"/>
      <c r="G190" s="370"/>
      <c r="H190" s="370"/>
      <c r="I190" s="352"/>
      <c r="J190" s="370"/>
      <c r="K190" s="370"/>
      <c r="L190" s="370"/>
      <c r="M190" s="386"/>
      <c r="N190" s="377"/>
    </row>
    <row r="191" spans="1:14" ht="15" customHeight="1">
      <c r="A191" s="703"/>
      <c r="B191" s="360" t="str">
        <f t="shared" si="2"/>
        <v>8-Finalist</v>
      </c>
      <c r="C191" s="349" t="str">
        <f>WORLDCUP!AF121</f>
        <v>W77</v>
      </c>
      <c r="D191" s="706"/>
      <c r="E191" s="370"/>
      <c r="F191" s="370"/>
      <c r="G191" s="370"/>
      <c r="H191" s="370"/>
      <c r="I191" s="352"/>
      <c r="J191" s="370"/>
      <c r="K191" s="370"/>
      <c r="L191" s="370"/>
      <c r="M191" s="386"/>
      <c r="N191" s="377"/>
    </row>
    <row r="192" spans="1:14" ht="15" customHeight="1">
      <c r="A192" s="703"/>
      <c r="B192" s="360" t="str">
        <f t="shared" si="2"/>
        <v>8-Finalist</v>
      </c>
      <c r="C192" s="349" t="str">
        <f>WORLDCUP!AF122</f>
        <v>W78</v>
      </c>
      <c r="D192" s="706"/>
      <c r="E192" s="370"/>
      <c r="F192" s="370"/>
      <c r="G192" s="370"/>
      <c r="H192" s="370"/>
      <c r="I192" s="352"/>
      <c r="J192" s="370"/>
      <c r="K192" s="370"/>
      <c r="L192" s="370"/>
      <c r="M192" s="386"/>
      <c r="N192" s="377"/>
    </row>
    <row r="193" spans="1:14" ht="15" customHeight="1">
      <c r="A193" s="703"/>
      <c r="B193" s="360" t="str">
        <f t="shared" si="2"/>
        <v>8-Finalist</v>
      </c>
      <c r="C193" s="349" t="str">
        <f>WORLDCUP!AF123</f>
        <v>W80</v>
      </c>
      <c r="D193" s="706"/>
      <c r="E193" s="370"/>
      <c r="F193" s="370"/>
      <c r="G193" s="370"/>
      <c r="H193" s="370"/>
      <c r="I193" s="352"/>
      <c r="J193" s="370"/>
      <c r="K193" s="370"/>
      <c r="L193" s="370"/>
      <c r="M193" s="386"/>
      <c r="N193" s="377"/>
    </row>
    <row r="194" spans="1:14" ht="15" customHeight="1">
      <c r="A194" s="703"/>
      <c r="B194" s="360" t="str">
        <f t="shared" si="2"/>
        <v>8-Finalist</v>
      </c>
      <c r="C194" s="349" t="str">
        <f>WORLDCUP!AF124</f>
        <v>W84</v>
      </c>
      <c r="D194" s="706"/>
      <c r="E194" s="370"/>
      <c r="F194" s="370"/>
      <c r="G194" s="370"/>
      <c r="H194" s="370"/>
      <c r="I194" s="352"/>
      <c r="J194" s="370"/>
      <c r="K194" s="370"/>
      <c r="L194" s="370"/>
      <c r="M194" s="386"/>
      <c r="N194" s="377"/>
    </row>
    <row r="195" spans="1:14" ht="15" customHeight="1">
      <c r="A195" s="703"/>
      <c r="B195" s="360" t="str">
        <f t="shared" si="2"/>
        <v>8-Finalist</v>
      </c>
      <c r="C195" s="349" t="str">
        <f>WORLDCUP!AF125</f>
        <v>W82</v>
      </c>
      <c r="D195" s="706"/>
      <c r="E195" s="370"/>
      <c r="F195" s="370"/>
      <c r="G195" s="370"/>
      <c r="H195" s="370"/>
      <c r="I195" s="352"/>
      <c r="J195" s="370"/>
      <c r="K195" s="370"/>
      <c r="L195" s="370"/>
      <c r="M195" s="386"/>
      <c r="N195" s="377"/>
    </row>
    <row r="196" spans="1:14" ht="15" customHeight="1">
      <c r="A196" s="703"/>
      <c r="B196" s="360" t="str">
        <f t="shared" si="2"/>
        <v>8-Finalist</v>
      </c>
      <c r="C196" s="349" t="str">
        <f>WORLDCUP!AF126</f>
        <v>W88</v>
      </c>
      <c r="D196" s="706"/>
      <c r="E196" s="370"/>
      <c r="F196" s="370"/>
      <c r="G196" s="370"/>
      <c r="H196" s="370"/>
      <c r="I196" s="352"/>
      <c r="J196" s="370"/>
      <c r="K196" s="370"/>
      <c r="L196" s="370"/>
      <c r="M196" s="386"/>
      <c r="N196" s="377"/>
    </row>
    <row r="197" spans="1:14" ht="15" customHeight="1">
      <c r="A197" s="703"/>
      <c r="B197" s="360" t="str">
        <f t="shared" si="2"/>
        <v>8-Finalist</v>
      </c>
      <c r="C197" s="349" t="str">
        <f>WORLDCUP!AF127</f>
        <v>W87</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CONCATENATE(WORLDCUP!AA120,"-",WORLDCUP!AF120)</f>
        <v>W73-W75</v>
      </c>
      <c r="C200" s="351" t="str">
        <f>CONCATENATE(WORLDCUP!AA120,"-",WORLDCUP!AF120,"·",IF(WORLDCUP!AC120&gt;WORLDCUP!AD120,1,IF(WORLDCUP!AC120&lt;WORLDCUP!AD120,2,IF(AND(WORLDCUP!AC120=WORLDCUP!AD120,WORLDCUP!AC120&lt;&gt;"",WORLDCUP!AD120&lt;&gt;""),"X",0))),"|",WORLDCUP!AC120,"-",WORLDCUP!AD120)</f>
        <v>W73-W75·0|-</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CONCATENATE(WORLDCUP!AA121,"-",WORLDCUP!AF121)</f>
        <v>W74-W77</v>
      </c>
      <c r="C201" s="351" t="str">
        <f>CONCATENATE(WORLDCUP!AA121,"-",WORLDCUP!AF121,"·",IF(WORLDCUP!AC121&gt;WORLDCUP!AD121,1,IF(WORLDCUP!AC121&lt;WORLDCUP!AD121,2,IF(AND(WORLDCUP!AC121=WORLDCUP!AD121,WORLDCUP!AC121&lt;&gt;"",WORLDCUP!AD121&lt;&gt;""),"X",0))),"|",WORLDCUP!AC121,"-",WORLDCUP!AD121)</f>
        <v>W74-W77·0|-</v>
      </c>
      <c r="D201" s="686"/>
      <c r="E201" s="685"/>
      <c r="F201" s="685"/>
      <c r="G201" s="685"/>
      <c r="H201" s="685"/>
      <c r="I201" s="352"/>
      <c r="J201" s="370"/>
      <c r="K201" s="370"/>
      <c r="L201" s="370"/>
      <c r="M201" s="386"/>
      <c r="N201" s="377"/>
    </row>
    <row r="202" spans="1:14" ht="15" customHeight="1">
      <c r="A202" s="703"/>
      <c r="B202" s="361" t="str">
        <f>CONCATENATE(WORLDCUP!AA122,"-",WORLDCUP!AF122)</f>
        <v>W76-W78</v>
      </c>
      <c r="C202" s="351" t="str">
        <f>CONCATENATE(WORLDCUP!AA122,"-",WORLDCUP!AF122,"·",IF(WORLDCUP!AC122&gt;WORLDCUP!AD122,1,IF(WORLDCUP!AC122&lt;WORLDCUP!AD122,2,IF(AND(WORLDCUP!AC122=WORLDCUP!AD122,WORLDCUP!AC122&lt;&gt;"",WORLDCUP!AD122&lt;&gt;""),"X",0))),"|",WORLDCUP!AC122,"-",WORLDCUP!AD122)</f>
        <v>W76-W78·0|-</v>
      </c>
      <c r="D202" s="686"/>
      <c r="E202" s="685"/>
      <c r="F202" s="685"/>
      <c r="G202" s="685"/>
      <c r="H202" s="685"/>
      <c r="I202" s="352"/>
      <c r="J202" s="370"/>
      <c r="K202" s="370"/>
      <c r="L202" s="370"/>
      <c r="M202" s="386"/>
      <c r="N202" s="377"/>
    </row>
    <row r="203" spans="1:14" ht="15" customHeight="1">
      <c r="A203" s="703"/>
      <c r="B203" s="361" t="str">
        <f>CONCATENATE(WORLDCUP!AA123,"-",WORLDCUP!AF123)</f>
        <v>W79-W80</v>
      </c>
      <c r="C203" s="351" t="str">
        <f>CONCATENATE(WORLDCUP!AA123,"-",WORLDCUP!AF123,"·",IF(WORLDCUP!AC123&gt;WORLDCUP!AD123,1,IF(WORLDCUP!AC123&lt;WORLDCUP!AD123,2,IF(AND(WORLDCUP!AC123=WORLDCUP!AD123,WORLDCUP!AC123&lt;&gt;"",WORLDCUP!AD123&lt;&gt;""),"X",0))),"|",WORLDCUP!AC123,"-",WORLDCUP!AD123)</f>
        <v>W79-W80·0|-</v>
      </c>
      <c r="D203" s="686"/>
      <c r="E203" s="685"/>
      <c r="F203" s="685"/>
      <c r="G203" s="685"/>
      <c r="H203" s="685"/>
      <c r="I203" s="352"/>
      <c r="J203" s="370"/>
      <c r="K203" s="370"/>
      <c r="L203" s="370"/>
      <c r="M203" s="386"/>
      <c r="N203" s="377"/>
    </row>
    <row r="204" spans="1:14" ht="15" customHeight="1">
      <c r="A204" s="703"/>
      <c r="B204" s="361" t="str">
        <f>CONCATENATE(WORLDCUP!AA124,"-",WORLDCUP!AF124)</f>
        <v>W83-W84</v>
      </c>
      <c r="C204" s="351" t="str">
        <f>CONCATENATE(WORLDCUP!AA124,"-",WORLDCUP!AF124,"·",IF(WORLDCUP!AC124&gt;WORLDCUP!AD124,1,IF(WORLDCUP!AC124&lt;WORLDCUP!AD124,2,IF(AND(WORLDCUP!AC124=WORLDCUP!AD124,WORLDCUP!AC124&lt;&gt;"",WORLDCUP!AD124&lt;&gt;""),"X",0))),"|",WORLDCUP!AC124,"-",WORLDCUP!AD124)</f>
        <v>W83-W84·0|-</v>
      </c>
      <c r="D204" s="686"/>
      <c r="E204" s="352"/>
      <c r="F204" s="352"/>
      <c r="G204" s="352"/>
      <c r="H204" s="352"/>
      <c r="I204" s="352"/>
      <c r="J204" s="370"/>
      <c r="K204" s="370"/>
      <c r="L204" s="370"/>
      <c r="M204" s="386"/>
      <c r="N204" s="377"/>
    </row>
    <row r="205" spans="1:14" ht="15" customHeight="1">
      <c r="A205" s="703"/>
      <c r="B205" s="361" t="str">
        <f>CONCATENATE(WORLDCUP!AA125,"-",WORLDCUP!AF125)</f>
        <v>W81-W82</v>
      </c>
      <c r="C205" s="351" t="str">
        <f>CONCATENATE(WORLDCUP!AA125,"-",WORLDCUP!AF125,"·",IF(WORLDCUP!AC125&gt;WORLDCUP!AD125,1,IF(WORLDCUP!AC125&lt;WORLDCUP!AD125,2,IF(AND(WORLDCUP!AC125=WORLDCUP!AD125,WORLDCUP!AC125&lt;&gt;"",WORLDCUP!AD125&lt;&gt;""),"X",0))),"|",WORLDCUP!AC125,"-",WORLDCUP!AD125)</f>
        <v>W81-W82·0|-</v>
      </c>
      <c r="D205" s="686"/>
      <c r="E205" s="352"/>
      <c r="F205" s="352"/>
      <c r="G205" s="352"/>
      <c r="H205" s="352"/>
      <c r="I205" s="352"/>
      <c r="J205" s="370"/>
      <c r="K205" s="370"/>
      <c r="L205" s="370"/>
      <c r="M205" s="386"/>
      <c r="N205" s="377"/>
    </row>
    <row r="206" spans="1:14" ht="15" customHeight="1">
      <c r="A206" s="703"/>
      <c r="B206" s="361" t="str">
        <f>CONCATENATE(WORLDCUP!AA126,"-",WORLDCUP!AF126)</f>
        <v>W86-W88</v>
      </c>
      <c r="C206" s="351" t="str">
        <f>CONCATENATE(WORLDCUP!AA126,"-",WORLDCUP!AF126,"·",IF(WORLDCUP!AC126&gt;WORLDCUP!AD126,1,IF(WORLDCUP!AC126&lt;WORLDCUP!AD126,2,IF(AND(WORLDCUP!AC126=WORLDCUP!AD126,WORLDCUP!AC126&lt;&gt;"",WORLDCUP!AD126&lt;&gt;""),"X",0))),"|",WORLDCUP!AC126,"-",WORLDCUP!AD126)</f>
        <v>W86-W88·0|-</v>
      </c>
      <c r="D206" s="686"/>
      <c r="E206" s="352"/>
      <c r="F206" s="352"/>
      <c r="G206" s="352"/>
      <c r="H206" s="352"/>
      <c r="I206" s="352"/>
      <c r="J206" s="370"/>
      <c r="K206" s="370"/>
      <c r="L206" s="370"/>
      <c r="M206" s="386"/>
      <c r="N206" s="377"/>
    </row>
    <row r="207" spans="1:14" ht="15" customHeight="1">
      <c r="A207" s="703"/>
      <c r="B207" s="361" t="str">
        <f>CONCATENATE(WORLDCUP!AA127,"-",WORLDCUP!AF127)</f>
        <v>W85-W87</v>
      </c>
      <c r="C207" s="351" t="str">
        <f>CONCATENATE(WORLDCUP!AA127,"-",WORLDCUP!AF127,"·",IF(WORLDCUP!AC127&gt;WORLDCUP!AD127,1,IF(WORLDCUP!AC127&lt;WORLDCUP!AD127,2,IF(AND(WORLDCUP!AC127=WORLDCUP!AD127,WORLDCUP!AC127&lt;&gt;"",WORLDCUP!AD127&lt;&gt;""),"X",0))),"|",WORLDCUP!AC127,"-",WORLDCUP!AD127)</f>
        <v>W85-W87·0|-</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WORLDCUP!AA131</f>
        <v>W89</v>
      </c>
      <c r="D210" s="686"/>
      <c r="E210" s="370"/>
      <c r="F210" s="370"/>
      <c r="G210" s="370"/>
      <c r="H210" s="370"/>
      <c r="I210" s="352"/>
      <c r="J210" s="370"/>
      <c r="K210" s="370"/>
      <c r="L210" s="370"/>
      <c r="M210" s="386"/>
      <c r="N210" s="377"/>
    </row>
    <row r="211" spans="1:14" ht="15" customHeight="1">
      <c r="A211" s="703"/>
      <c r="B211" s="360" t="str">
        <f>B210</f>
        <v>Quarterfinalist</v>
      </c>
      <c r="C211" s="349" t="str">
        <f>WORLDCUP!AA132</f>
        <v>W93</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WORLDCUP!AA133</f>
        <v>W91</v>
      </c>
      <c r="D212" s="686"/>
      <c r="E212" s="370"/>
      <c r="F212" s="370"/>
      <c r="G212" s="370"/>
      <c r="H212" s="370"/>
      <c r="I212" s="352"/>
      <c r="J212" s="370"/>
      <c r="K212" s="370"/>
      <c r="L212" s="370"/>
      <c r="M212" s="386"/>
      <c r="N212" s="377"/>
    </row>
    <row r="213" spans="1:14" ht="15" customHeight="1">
      <c r="A213" s="703"/>
      <c r="B213" s="360" t="str">
        <f t="shared" si="3"/>
        <v>Quarterfinalist</v>
      </c>
      <c r="C213" s="349" t="str">
        <f>WORLDCUP!AA134</f>
        <v>W95</v>
      </c>
      <c r="D213" s="686"/>
      <c r="E213" s="370"/>
      <c r="F213" s="370"/>
      <c r="G213" s="370"/>
      <c r="H213" s="370"/>
      <c r="I213" s="352"/>
      <c r="J213" s="370"/>
      <c r="K213" s="370"/>
      <c r="L213" s="370"/>
      <c r="M213" s="386"/>
      <c r="N213" s="377"/>
    </row>
    <row r="214" spans="1:14" ht="15" customHeight="1">
      <c r="A214" s="703"/>
      <c r="B214" s="360" t="str">
        <f t="shared" si="3"/>
        <v>Quarterfinalist</v>
      </c>
      <c r="C214" s="349" t="str">
        <f>WORLDCUP!AF131</f>
        <v>W90</v>
      </c>
      <c r="D214" s="686"/>
      <c r="E214" s="370"/>
      <c r="F214" s="370"/>
      <c r="G214" s="370"/>
      <c r="H214" s="370"/>
      <c r="I214" s="352"/>
      <c r="J214" s="370"/>
      <c r="K214" s="370"/>
      <c r="L214" s="370"/>
      <c r="M214" s="386"/>
      <c r="N214" s="377"/>
    </row>
    <row r="215" spans="1:14" ht="15" customHeight="1">
      <c r="A215" s="703"/>
      <c r="B215" s="360" t="str">
        <f t="shared" si="3"/>
        <v>Quarterfinalist</v>
      </c>
      <c r="C215" s="349" t="str">
        <f>WORLDCUP!AF132</f>
        <v>W94</v>
      </c>
      <c r="D215" s="686"/>
      <c r="E215" s="370"/>
      <c r="F215" s="370"/>
      <c r="G215" s="370"/>
      <c r="H215" s="370"/>
      <c r="I215" s="352"/>
      <c r="J215" s="370"/>
      <c r="K215" s="370"/>
      <c r="L215" s="370"/>
      <c r="M215" s="386"/>
      <c r="N215" s="377"/>
    </row>
    <row r="216" spans="1:14" ht="15" customHeight="1">
      <c r="A216" s="703"/>
      <c r="B216" s="360" t="str">
        <f t="shared" si="3"/>
        <v>Quarterfinalist</v>
      </c>
      <c r="C216" s="349" t="str">
        <f>WORLDCUP!AF133</f>
        <v>W92</v>
      </c>
      <c r="D216" s="686"/>
      <c r="E216" s="370"/>
      <c r="F216" s="370"/>
      <c r="G216" s="370"/>
      <c r="H216" s="370"/>
      <c r="I216" s="352"/>
      <c r="J216" s="370"/>
      <c r="K216" s="370"/>
      <c r="L216" s="370"/>
      <c r="M216" s="386"/>
      <c r="N216" s="377"/>
    </row>
    <row r="217" spans="1:14" ht="15" customHeight="1">
      <c r="A217" s="703"/>
      <c r="B217" s="360" t="str">
        <f t="shared" si="3"/>
        <v>Quarterfinalist</v>
      </c>
      <c r="C217" s="349" t="str">
        <f>WORLDCUP!AF134</f>
        <v>W96</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CONCATENATE(WORLDCUP!AA131,"-",WORLDCUP!AF131)</f>
        <v>W89-W90</v>
      </c>
      <c r="C220" s="349" t="str">
        <f>CONCATENATE(WORLDCUP!AA131,"-",WORLDCUP!AF131,"·",IF(WORLDCUP!AC131&gt;WORLDCUP!AD131,1,IF(WORLDCUP!AC131&lt;WORLDCUP!AD131,2,IF(AND(WORLDCUP!AC131=WORLDCUP!AD131,WORLDCUP!AC131&lt;&gt;"",WORLDCUP!AD131&lt;&gt;""),"X",0))),"|",WORLDCUP!AC131,"-",WORLDCUP!AD131)</f>
        <v>W89-W90·0|-</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CONCATENATE(WORLDCUP!AA132,"-",WORLDCUP!AF132)</f>
        <v>W93-W94</v>
      </c>
      <c r="C221" s="349" t="str">
        <f>CONCATENATE(WORLDCUP!AA132,"-",WORLDCUP!AF132,"·",IF(WORLDCUP!AC132&gt;WORLDCUP!AD132,1,IF(WORLDCUP!AC132&lt;WORLDCUP!AD132,2,IF(AND(WORLDCUP!AC132=WORLDCUP!AD132,WORLDCUP!AC132&lt;&gt;"",WORLDCUP!AD132&lt;&gt;""),"X",0))),"|",WORLDCUP!AC132,"-",WORLDCUP!AD132)</f>
        <v>W93-W94·0|-</v>
      </c>
      <c r="D221" s="706"/>
      <c r="E221" s="685"/>
      <c r="F221" s="685"/>
      <c r="G221" s="685"/>
      <c r="H221" s="685"/>
      <c r="I221" s="352"/>
      <c r="J221" s="370"/>
      <c r="K221" s="370"/>
      <c r="L221" s="370"/>
      <c r="M221" s="386"/>
      <c r="N221" s="377"/>
    </row>
    <row r="222" spans="1:14" ht="15" customHeight="1">
      <c r="A222" s="703"/>
      <c r="B222" s="360" t="str">
        <f>CONCATENATE(WORLDCUP!AA133,"-",WORLDCUP!AF133)</f>
        <v>W91-W92</v>
      </c>
      <c r="C222" s="349" t="str">
        <f>CONCATENATE(WORLDCUP!AA133,"-",WORLDCUP!AF133,"·",IF(WORLDCUP!AC133&gt;WORLDCUP!AD133,1,IF(WORLDCUP!AC133&lt;WORLDCUP!AD133,2,IF(AND(WORLDCUP!AC133=WORLDCUP!AD133,WORLDCUP!AC133&lt;&gt;"",WORLDCUP!AD133&lt;&gt;""),"X",0))),"|",WORLDCUP!AC133,"-",WORLDCUP!AD133)</f>
        <v>W91-W92·0|-</v>
      </c>
      <c r="D222" s="706"/>
      <c r="E222" s="685"/>
      <c r="F222" s="685"/>
      <c r="G222" s="685"/>
      <c r="H222" s="685"/>
      <c r="I222" s="352"/>
      <c r="J222" s="370"/>
      <c r="K222" s="370"/>
      <c r="L222" s="370"/>
      <c r="M222" s="386"/>
      <c r="N222" s="377"/>
    </row>
    <row r="223" spans="1:14" ht="15" customHeight="1">
      <c r="A223" s="703"/>
      <c r="B223" s="360" t="str">
        <f>CONCATENATE(WORLDCUP!AA134,"-",WORLDCUP!AF134)</f>
        <v>W95-W96</v>
      </c>
      <c r="C223" s="349" t="str">
        <f>CONCATENATE(WORLDCUP!AA134,"-",WORLDCUP!AF134,"·",IF(WORLDCUP!AC134&gt;WORLDCUP!AD134,1,IF(WORLDCUP!AC134&lt;WORLDCUP!AD134,2,IF(AND(WORLDCUP!AC134=WORLDCUP!AD134,WORLDCUP!AC134&lt;&gt;"",WORLDCUP!AD134&lt;&gt;""),"X",0))),"|",WORLDCUP!AC134,"-",WORLDCUP!AD134)</f>
        <v>W95-W96·0|-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WORLDCUP!AA138</f>
        <v>W97</v>
      </c>
      <c r="D226" s="706"/>
      <c r="E226" s="370"/>
      <c r="F226" s="370"/>
      <c r="G226" s="370"/>
      <c r="H226" s="370"/>
      <c r="I226" s="352"/>
      <c r="J226" s="370"/>
      <c r="K226" s="370"/>
      <c r="L226" s="370"/>
      <c r="M226" s="386"/>
      <c r="N226" s="377"/>
    </row>
    <row r="227" spans="1:14" ht="15" customHeight="1">
      <c r="A227" s="703"/>
      <c r="B227" s="360" t="str">
        <f>Idiomas!$D$191</f>
        <v>Semifinalist</v>
      </c>
      <c r="C227" s="349" t="str">
        <f>WORLDCUP!AA139</f>
        <v>W99</v>
      </c>
      <c r="D227" s="706"/>
      <c r="E227" s="370"/>
      <c r="F227" s="370"/>
      <c r="G227" s="370"/>
      <c r="H227" s="370"/>
      <c r="I227" s="352"/>
      <c r="J227" s="370"/>
      <c r="K227" s="370"/>
      <c r="L227" s="370"/>
      <c r="M227" s="386"/>
      <c r="N227" s="377"/>
    </row>
    <row r="228" spans="1:14" ht="15" customHeight="1">
      <c r="A228" s="703"/>
      <c r="B228" s="360" t="str">
        <f>Idiomas!$D$191</f>
        <v>Semifinalist</v>
      </c>
      <c r="C228" s="349" t="str">
        <f>WORLDCUP!AF138</f>
        <v>W98</v>
      </c>
      <c r="D228" s="706"/>
      <c r="E228" s="370"/>
      <c r="F228" s="370"/>
      <c r="G228" s="370"/>
      <c r="H228" s="370"/>
      <c r="I228" s="352"/>
      <c r="J228" s="370"/>
      <c r="K228" s="370"/>
      <c r="L228" s="370"/>
      <c r="M228" s="386"/>
      <c r="N228" s="377"/>
    </row>
    <row r="229" spans="1:14" ht="15" customHeight="1">
      <c r="A229" s="703"/>
      <c r="B229" s="360" t="str">
        <f>Idiomas!$D$191</f>
        <v>Semifinalist</v>
      </c>
      <c r="C229" s="349" t="str">
        <f>WORLDCUP!AF139</f>
        <v>W100</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CONCATENATE(WORLDCUP!AA138,"-",WORLDCUP!AF138)</f>
        <v>W97-W98</v>
      </c>
      <c r="C232" s="351" t="str">
        <f>CONCATENATE(WORLDCUP!AA138,"-",WORLDCUP!AF138,"·",IF(WORLDCUP!AC138&gt;WORLDCUP!AD138,1,IF(WORLDCUP!AC138&lt;WORLDCUP!AD138,2,IF(AND(WORLDCUP!AC138=WORLDCUP!AD138,WORLDCUP!AC138&lt;&gt;"",WORLDCUP!AD138&lt;&gt;""),"X",0))),"|",WORLDCUP!AC138,"-",WORLDCUP!AD138)</f>
        <v>W97-W98·0|-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CONCATENATE(WORLDCUP!AA139,"-",WORLDCUP!AF139)</f>
        <v>W99-W100</v>
      </c>
      <c r="C233" s="351" t="str">
        <f>CONCATENATE(WORLDCUP!AA139,"-",WORLDCUP!AF139,"·",IF(WORLDCUP!AC139&gt;WORLDCUP!AD139,1,IF(WORLDCUP!AC139&lt;WORLDCUP!AD139,2,IF(AND(WORLDCUP!AC139=WORLDCUP!AD139,WORLDCUP!AC139&lt;&gt;"",WORLDCUP!AD139&lt;&gt;""),"X",0))),"|",WORLDCUP!AC139,"-",WORLDCUP!AD139)</f>
        <v>W99-W100·0|-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WORLDCUP!AA143</f>
        <v>L101</v>
      </c>
      <c r="D236" s="686"/>
      <c r="E236" s="374"/>
      <c r="F236" s="374"/>
      <c r="G236" s="374"/>
      <c r="H236" s="374"/>
      <c r="I236" s="352"/>
      <c r="J236" s="370"/>
      <c r="K236" s="370"/>
      <c r="L236" s="370"/>
      <c r="M236" s="386"/>
      <c r="N236" s="377"/>
    </row>
    <row r="237" spans="1:14" ht="15" customHeight="1">
      <c r="A237" s="710"/>
      <c r="B237" s="360" t="str">
        <f>Idiomas!D192</f>
        <v>3rd-4th place</v>
      </c>
      <c r="C237" s="349" t="str">
        <f>WORLDCUP!AF143</f>
        <v>L102</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WORLDCUP!AA147</f>
        <v>W101</v>
      </c>
      <c r="D240" s="686"/>
      <c r="E240" s="370"/>
      <c r="F240" s="370"/>
      <c r="G240" s="370"/>
      <c r="H240" s="370"/>
      <c r="I240" s="352"/>
      <c r="J240" s="370"/>
      <c r="K240" s="370"/>
      <c r="L240" s="370"/>
      <c r="M240" s="386"/>
      <c r="N240" s="377"/>
    </row>
    <row r="241" spans="1:14" ht="15" customHeight="1">
      <c r="A241" s="710"/>
      <c r="B241" s="360" t="str">
        <f>B240</f>
        <v>Finalist</v>
      </c>
      <c r="C241" s="349" t="str">
        <f>WORLDCUP!AF147</f>
        <v>W102</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CONCATENATE(WORLDCUP!AA143,"-",WORLDCUP!AF143)</f>
        <v>L101-L102</v>
      </c>
      <c r="C244" s="349" t="str">
        <f>CONCATENATE(WORLDCUP!AA143,"-",WORLDCUP!AF143,"·",IF(WORLDCUP!AC143&gt;WORLDCUP!AD143,1,IF(WORLDCUP!AC143&lt;WORLDCUP!AD143,2,IF(AND(WORLDCUP!AC143=WORLDCUP!AD143,WORLDCUP!AC143&lt;&gt;"",WORLDCUP!AD143&lt;&gt;""),"X",0))),"|",WORLDCUP!AC143,"-",WORLDCUP!AD143)</f>
        <v>L101-L102·0|-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CONCATENATE(WORLDCUP!AA147,"-",WORLDCUP!AF147)</f>
        <v>W101-W102</v>
      </c>
      <c r="C247" s="351" t="str">
        <f>CONCATENATE(WORLDCUP!AA147,"-",WORLDCUP!AF147,"·",IF(WORLDCUP!AC147&gt;WORLDCUP!AD147,1,IF(WORLDCUP!AC147&lt;WORLDCUP!AD147,2,IF(AND(WORLDCUP!AC147=WORLDCUP!AD147,WORLDCUP!AC147&lt;&gt;"",WORLDCUP!AD147&lt;&gt;""),"X",0))),"|",WORLDCUP!AC147,"-",WORLDCUP!AD147)</f>
        <v>W101-W102·0|-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WORLDCUP!AA150</f>
        <v>WF</v>
      </c>
      <c r="D250" s="711"/>
      <c r="E250" s="374"/>
      <c r="F250" s="374"/>
      <c r="G250" s="374"/>
      <c r="H250" s="374"/>
      <c r="I250" s="381"/>
      <c r="J250" s="370"/>
      <c r="K250" s="370"/>
      <c r="L250" s="370"/>
      <c r="M250" s="386"/>
      <c r="N250" s="377"/>
    </row>
    <row r="251" spans="1:14" ht="15" customHeight="1">
      <c r="A251" s="364"/>
      <c r="B251" s="360" t="str">
        <f>WORLDCUP!W151</f>
        <v>🥈Runner-up</v>
      </c>
      <c r="C251" s="349" t="str">
        <f>WORLDCUP!AA151</f>
        <v>LF</v>
      </c>
      <c r="D251" s="711"/>
      <c r="E251" s="374"/>
      <c r="F251" s="374"/>
      <c r="G251" s="374"/>
      <c r="H251" s="374"/>
      <c r="I251" s="390"/>
      <c r="J251" s="383"/>
      <c r="K251" s="372"/>
      <c r="L251" s="372"/>
      <c r="M251" s="386"/>
      <c r="N251" s="377"/>
    </row>
    <row r="252" spans="1:14" ht="15" customHeight="1">
      <c r="A252" s="364"/>
      <c r="B252" s="360" t="str">
        <f>WORLDCUP!W152</f>
        <v>🥉3rd place</v>
      </c>
      <c r="C252" s="349" t="str">
        <f>WORLDCUP!AA152</f>
        <v>W34</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ntv</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ntv</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ntv</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ntv</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ntv</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ntv</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t="str">
        <f>IF(ISBLANK(INDEX(WORLDCUP!$AC$4:$AC$147,MATCH(A3,WORLDCUP!$AH$4:$AH$147,0))),"",INDEX(WORLDCUP!$AC$4:$AC$147,MATCH(A3,WORLDCUP!$AH$4:$AH$147,0)))</f>
        <v/>
      </c>
      <c r="E3" s="418" t="str">
        <f>IF(ISBLANK(INDEX(WORLDCUP!$AD$4:$AD$147,MATCH(A3,WORLDCUP!$AH$4:$AH$147,0))),"",INDEX(WORLDCUP!$AD$4:$AD$147,MATCH(A3,WORLDCUP!$AH$4:$AH$147,0)))</f>
        <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t="str">
        <f>IF(ISBLANK(INDEX(WORLDCUP!$AC$4:$AC$147,MATCH(M3,WORLDCUP!$AH$4:$AH$147,0))),"",INDEX(WORLDCUP!$AC$4:$AC$147,MATCH(M3,WORLDCUP!$AH$4:$AH$147,0)))</f>
        <v/>
      </c>
      <c r="Q3" s="418" t="str">
        <f>IF(ISBLANK(INDEX(WORLDCUP!$AD$4:$AD$147,MATCH(M3,WORLDCUP!$AH$4:$AH$147,0))),"",INDEX(WORLDCUP!$AD$4:$AD$147,MATCH(M3,WORLDCUP!$AH$4:$AH$147,0)))</f>
        <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1E</v>
      </c>
      <c r="AB3" s="427" t="str">
        <f>+IF(ISBLANK(INDEX(WORLDCUP!$AC$101:$AC$147,MATCH(Y3,WORLDCUP!$Z$101:$Z$147,0))),"",INDEX(WORLDCUP!$AC$101:$AC$147,MATCH(Y3,WORLDCUP!$Z$101:$Z$147,0)))</f>
        <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t="str">
        <f>IF(ISBLANK(INDEX(WORLDCUP!$AC$4:$AC$147,MATCH(A4,WORLDCUP!$AH$4:$AH$147,0))),"",INDEX(WORLDCUP!$AC$4:$AC$147,MATCH(A4,WORLDCUP!$AH$4:$AH$147,0)))</f>
        <v/>
      </c>
      <c r="E4" s="445" t="str">
        <f>IF(ISBLANK(INDEX(WORLDCUP!$AD$4:$AD$147,MATCH(A4,WORLDCUP!$AH$4:$AH$147,0))),"",INDEX(WORLDCUP!$AD$4:$AD$147,MATCH(A4,WORLDCUP!$AH$4:$AH$147,0)))</f>
        <v/>
      </c>
      <c r="F4" s="446" t="str">
        <f ca="1">+MID(INDEX(WORLDCUP!$AF$4:$AF$147,MATCH(A4,WORLDCUP!$AH$4:$AH$147,0)),1,3)</f>
        <v>Cze</v>
      </c>
      <c r="G4" s="447">
        <v>1</v>
      </c>
      <c r="H4" s="448" t="str">
        <f ca="1">+MID(INDEX(WORLDCUP!$AL$6:$AL$97,MATCH(L4,WORLDCUP!$AI$6:$AI$97,0)),1,3)</f>
        <v>Mex</v>
      </c>
      <c r="I4" s="449">
        <f ca="1">+INDEX(WORLDCUP!$AM$6:$AM$97,MATCH(L4,WORLDCUP!$AI$6:$AI$97,0))</f>
        <v>0</v>
      </c>
      <c r="J4" s="450">
        <f ca="1">+INDEX(WORLDCUP!$AT$6:$AT$97,MATCH(L4,WORLDCUP!$AI$6:$AI$97,0))</f>
        <v>0</v>
      </c>
      <c r="K4" s="451" t="str">
        <f ca="1">+INDEX(WORLDCUP!$AR$6:$AR$97,MATCH(L4,WORLDCUP!$AI$6:$AI$97,0))&amp;"-"&amp;INDEX(WORLDCUP!$AS$6:$AS$97,MATCH(L4,WORLDCUP!$AI$6:$AI$97,0))</f>
        <v>0-0</v>
      </c>
      <c r="L4" s="181" t="s">
        <v>657</v>
      </c>
      <c r="M4" s="181">
        <v>15</v>
      </c>
      <c r="N4" s="452"/>
      <c r="O4" s="444" t="str">
        <f ca="1">+MID(INDEX(WORLDCUP!$AA$4:$AA$147,MATCH(M4,WORLDCUP!$AH$4:$AH$147,0)),1,3)</f>
        <v>Ira</v>
      </c>
      <c r="P4" s="445" t="str">
        <f>IF(ISBLANK(INDEX(WORLDCUP!$AC$4:$AC$147,MATCH(M4,WORLDCUP!$AH$4:$AH$147,0))),"",INDEX(WORLDCUP!$AC$4:$AC$147,MATCH(M4,WORLDCUP!$AH$4:$AH$147,0)))</f>
        <v/>
      </c>
      <c r="Q4" s="445" t="str">
        <f>IF(ISBLANK(INDEX(WORLDCUP!$AD$4:$AD$147,MATCH(M4,WORLDCUP!$AH$4:$AH$147,0))),"",INDEX(WORLDCUP!$AD$4:$AD$147,MATCH(M4,WORLDCUP!$AH$4:$AH$147,0)))</f>
        <v/>
      </c>
      <c r="R4" s="446" t="str">
        <f ca="1">+MID(INDEX(WORLDCUP!$AF$4:$AF$147,MATCH(M4,WORLDCUP!$AH$4:$AH$147,0)),1,3)</f>
        <v>New</v>
      </c>
      <c r="S4" s="447">
        <v>1</v>
      </c>
      <c r="T4" s="448" t="str">
        <f ca="1">+MID(INDEX(WORLDCUP!$AL$6:$AL$97,MATCH(X4,WORLDCUP!$AI$6:$AI$97,0)),1,3)</f>
        <v>Bel</v>
      </c>
      <c r="U4" s="449">
        <f ca="1">+INDEX(WORLDCUP!$AM$6:$AM$97,MATCH(X4,WORLDCUP!$AI$6:$AI$97,0))</f>
        <v>0</v>
      </c>
      <c r="V4" s="450">
        <f ca="1">+INDEX(WORLDCUP!$AT$6:$AT$97,MATCH(X4,WORLDCUP!$AI$6:$AI$97,0))</f>
        <v>0</v>
      </c>
      <c r="W4" s="451" t="str">
        <f ca="1">+INDEX(WORLDCUP!$AR$6:$AR$97,MATCH(X4,WORLDCUP!$AI$6:$AI$97,0))&amp;"-"&amp;INDEX(WORLDCUP!$AS$6:$AS$97,MATCH(X4,WORLDCUP!$AI$6:$AI$97,0))</f>
        <v>0-0</v>
      </c>
      <c r="X4" s="181" t="s">
        <v>679</v>
      </c>
      <c r="Y4" s="181">
        <v>74</v>
      </c>
      <c r="Z4" s="425" t="s">
        <v>734</v>
      </c>
      <c r="AA4" s="426" t="str">
        <f ca="1">+MID(INDEX(WORLDCUP!$AF$101:$AF$147,MATCH(Y4,WORLDCUP!$Z$101:$Z$147,0)),1,IF(WORLDCUP!$H$113&lt;144,6,3))</f>
        <v>3ABCDF</v>
      </c>
      <c r="AB4" s="453" t="str">
        <f>+IF(ISBLANK(INDEX(WORLDCUP!$AD$101:$AD$147,MATCH(Y4,WORLDCUP!$Z$101:$Z$147,0))),"",INDEX(WORLDCUP!$AD$101:$AD$147,MATCH(Y4,WORLDCUP!$Z$101:$Z$147,0)))</f>
        <v/>
      </c>
      <c r="AC4" s="454" t="str">
        <f>+IF(ISBLANK(INDEX(WORLDCUP!$AE$101:$AE$147,MATCH(Y4,WORLDCUP!$Z$101:$Z$147,0))),"","( "&amp;INDEX(WORLDCUP!$AE$101:$AE$147,MATCH(Y4,WORLDCUP!$Z$101:$Z$147,0))&amp;" )")</f>
        <v/>
      </c>
      <c r="AD4" s="455">
        <v>89</v>
      </c>
      <c r="AE4" s="456" t="str">
        <f>+MID(INDEX(WORLDCUP!$AA$101:$AA$147,MATCH(AD4,WORLDCUP!$Z$101:$Z$147,0)),1,3)</f>
        <v>W74</v>
      </c>
      <c r="AF4" s="457" t="str">
        <f>+IF(ISBLANK(INDEX(WORLDCUP!$AC$101:$AC$147,MATCH(AD4,WORLDCUP!$Z$101:$Z$147,0))),"",INDEX(WORLDCUP!$AC$101:$AC$147,MATCH(AD4,WORLDCUP!$Z$101:$Z$147,0)))</f>
        <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t="str">
        <f>IF(ISBLANK(INDEX(WORLDCUP!$AC$4:$AC$147,MATCH(A5,WORLDCUP!$AH$4:$AH$147,0))),"",INDEX(WORLDCUP!$AC$4:$AC$147,MATCH(A5,WORLDCUP!$AH$4:$AH$147,0)))</f>
        <v/>
      </c>
      <c r="E5" s="445" t="str">
        <f>IF(ISBLANK(INDEX(WORLDCUP!$AD$4:$AD$147,MATCH(A5,WORLDCUP!$AH$4:$AH$147,0))),"",INDEX(WORLDCUP!$AD$4:$AD$147,MATCH(A5,WORLDCUP!$AH$4:$AH$147,0)))</f>
        <v/>
      </c>
      <c r="F5" s="446" t="str">
        <f ca="1">+MID(INDEX(WORLDCUP!$AF$4:$AF$147,MATCH(A5,WORLDCUP!$AH$4:$AH$147,0)),1,3)</f>
        <v>Sou</v>
      </c>
      <c r="G5" s="467">
        <v>2</v>
      </c>
      <c r="H5" s="468" t="str">
        <f ca="1">+MID(INDEX(WORLDCUP!$AL$6:$AL$97,MATCH(L5,WORLDCUP!$AI$6:$AI$97,0)),1,3)</f>
        <v>Sou</v>
      </c>
      <c r="I5" s="38">
        <f ca="1">+INDEX(WORLDCUP!$AM$6:$AM$97,MATCH(L5,WORLDCUP!$AI$6:$AI$97,0))</f>
        <v>0</v>
      </c>
      <c r="J5" s="39">
        <f ca="1">+INDEX(WORLDCUP!$AT$6:$AT$97,MATCH(L5,WORLDCUP!$AI$6:$AI$97,0))</f>
        <v>0</v>
      </c>
      <c r="K5" s="43" t="str">
        <f ca="1">+INDEX(WORLDCUP!$AR$6:$AR$97,MATCH(L5,WORLDCUP!$AI$6:$AI$97,0))&amp;"-"&amp;INDEX(WORLDCUP!$AS$6:$AS$97,MATCH(L5,WORLDCUP!$AI$6:$AI$97,0))</f>
        <v>0-0</v>
      </c>
      <c r="L5" s="181" t="s">
        <v>658</v>
      </c>
      <c r="M5" s="181">
        <v>39</v>
      </c>
      <c r="N5" s="452"/>
      <c r="O5" s="444" t="str">
        <f ca="1">+MID(INDEX(WORLDCUP!$AA$4:$AA$147,MATCH(M5,WORLDCUP!$AH$4:$AH$147,0)),1,3)</f>
        <v>Bel</v>
      </c>
      <c r="P5" s="445" t="str">
        <f>IF(ISBLANK(INDEX(WORLDCUP!$AC$4:$AC$147,MATCH(M5,WORLDCUP!$AH$4:$AH$147,0))),"",INDEX(WORLDCUP!$AC$4:$AC$147,MATCH(M5,WORLDCUP!$AH$4:$AH$147,0)))</f>
        <v/>
      </c>
      <c r="Q5" s="445" t="str">
        <f>IF(ISBLANK(INDEX(WORLDCUP!$AD$4:$AD$147,MATCH(M5,WORLDCUP!$AH$4:$AH$147,0))),"",INDEX(WORLDCUP!$AD$4:$AD$147,MATCH(M5,WORLDCUP!$AH$4:$AH$147,0)))</f>
        <v/>
      </c>
      <c r="R5" s="446" t="str">
        <f ca="1">+MID(INDEX(WORLDCUP!$AF$4:$AF$147,MATCH(M5,WORLDCUP!$AH$4:$AH$147,0)),1,3)</f>
        <v>Ira</v>
      </c>
      <c r="S5" s="467">
        <v>2</v>
      </c>
      <c r="T5" s="468" t="str">
        <f ca="1">+MID(INDEX(WORLDCUP!$AL$6:$AL$97,MATCH(X5,WORLDCUP!$AI$6:$AI$97,0)),1,3)</f>
        <v>Egy</v>
      </c>
      <c r="U5" s="38">
        <f ca="1">+INDEX(WORLDCUP!$AM$6:$AM$97,MATCH(X5,WORLDCUP!$AI$6:$AI$97,0))</f>
        <v>0</v>
      </c>
      <c r="V5" s="39">
        <f ca="1">+INDEX(WORLDCUP!$AT$6:$AT$97,MATCH(X5,WORLDCUP!$AI$6:$AI$97,0))</f>
        <v>0</v>
      </c>
      <c r="W5" s="43" t="str">
        <f ca="1">+INDEX(WORLDCUP!$AR$6:$AR$97,MATCH(X5,WORLDCUP!$AI$6:$AI$97,0))&amp;"-"&amp;INDEX(WORLDCUP!$AS$6:$AS$97,MATCH(X5,WORLDCUP!$AI$6:$AI$97,0))</f>
        <v>0-0</v>
      </c>
      <c r="X5" s="181" t="s">
        <v>680</v>
      </c>
      <c r="Y5" s="181"/>
      <c r="Z5" s="425"/>
      <c r="AA5" s="469"/>
      <c r="AB5" s="469"/>
      <c r="AC5" s="470"/>
      <c r="AD5" s="181">
        <v>89</v>
      </c>
      <c r="AE5" s="456" t="str">
        <f>+MID(INDEX(WORLDCUP!$AF$101:$AF$147,MATCH(AD5,WORLDCUP!$Z$101:$Z$147,0)),1,3)</f>
        <v>W77</v>
      </c>
      <c r="AF5" s="457" t="str">
        <f>+IF(ISBLANK(INDEX(WORLDCUP!$AD$101:$AD$147,MATCH(AD5,WORLDCUP!$Z$101:$Z$147,0))),"",INDEX(WORLDCUP!$AD$101:$AD$147,MATCH(AD5,WORLDCUP!$Z$101:$Z$147,0)))</f>
        <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1</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t="str">
        <f>IF(ISBLANK(INDEX(WORLDCUP!$AC$4:$AC$147,MATCH(A6,WORLDCUP!$AH$4:$AH$147,0))),"",INDEX(WORLDCUP!$AC$4:$AC$147,MATCH(A6,WORLDCUP!$AH$4:$AH$147,0)))</f>
        <v/>
      </c>
      <c r="E6" s="445" t="str">
        <f>IF(ISBLANK(INDEX(WORLDCUP!$AD$4:$AD$147,MATCH(A6,WORLDCUP!$AH$4:$AH$147,0))),"",INDEX(WORLDCUP!$AD$4:$AD$147,MATCH(A6,WORLDCUP!$AH$4:$AH$147,0)))</f>
        <v/>
      </c>
      <c r="F6" s="446" t="str">
        <f ca="1">+MID(INDEX(WORLDCUP!$AF$4:$AF$147,MATCH(A6,WORLDCUP!$AH$4:$AH$147,0)),1,3)</f>
        <v>Sou</v>
      </c>
      <c r="G6" s="467">
        <v>3</v>
      </c>
      <c r="H6" s="468" t="str">
        <f ca="1">+MID(INDEX(WORLDCUP!$AL$6:$AL$97,MATCH(L6,WORLDCUP!$AI$6:$AI$97,0)),1,3)</f>
        <v>Sou</v>
      </c>
      <c r="I6" s="38">
        <f ca="1">+INDEX(WORLDCUP!$AM$6:$AM$97,MATCH(L6,WORLDCUP!$AI$6:$AI$97,0))</f>
        <v>0</v>
      </c>
      <c r="J6" s="39">
        <f ca="1">+INDEX(WORLDCUP!$AT$6:$AT$97,MATCH(L6,WORLDCUP!$AI$6:$AI$97,0))</f>
        <v>0</v>
      </c>
      <c r="K6" s="43" t="str">
        <f ca="1">+INDEX(WORLDCUP!$AR$6:$AR$97,MATCH(L6,WORLDCUP!$AI$6:$AI$97,0))&amp;"-"&amp;INDEX(WORLDCUP!$AS$6:$AS$97,MATCH(L6,WORLDCUP!$AI$6:$AI$97,0))</f>
        <v>0-0</v>
      </c>
      <c r="L6" s="181" t="s">
        <v>90</v>
      </c>
      <c r="M6" s="181">
        <v>40</v>
      </c>
      <c r="N6" s="452"/>
      <c r="O6" s="444" t="str">
        <f ca="1">+MID(INDEX(WORLDCUP!$AA$4:$AA$147,MATCH(M6,WORLDCUP!$AH$4:$AH$147,0)),1,3)</f>
        <v>New</v>
      </c>
      <c r="P6" s="445" t="str">
        <f>IF(ISBLANK(INDEX(WORLDCUP!$AC$4:$AC$147,MATCH(M6,WORLDCUP!$AH$4:$AH$147,0))),"",INDEX(WORLDCUP!$AC$4:$AC$147,MATCH(M6,WORLDCUP!$AH$4:$AH$147,0)))</f>
        <v/>
      </c>
      <c r="Q6" s="445" t="str">
        <f>IF(ISBLANK(INDEX(WORLDCUP!$AD$4:$AD$147,MATCH(M6,WORLDCUP!$AH$4:$AH$147,0))),"",INDEX(WORLDCUP!$AD$4:$AD$147,MATCH(M6,WORLDCUP!$AH$4:$AH$147,0)))</f>
        <v/>
      </c>
      <c r="R6" s="446" t="str">
        <f ca="1">+MID(INDEX(WORLDCUP!$AF$4:$AF$147,MATCH(M6,WORLDCUP!$AH$4:$AH$147,0)),1,3)</f>
        <v>Egy</v>
      </c>
      <c r="S6" s="467">
        <v>3</v>
      </c>
      <c r="T6" s="468" t="str">
        <f ca="1">+MID(INDEX(WORLDCUP!$AL$6:$AL$97,MATCH(X6,WORLDCUP!$AI$6:$AI$97,0)),1,3)</f>
        <v>Ira</v>
      </c>
      <c r="U6" s="38">
        <f ca="1">+INDEX(WORLDCUP!$AM$6:$AM$97,MATCH(X6,WORLDCUP!$AI$6:$AI$97,0))</f>
        <v>0</v>
      </c>
      <c r="V6" s="39">
        <f ca="1">+INDEX(WORLDCUP!$AT$6:$AT$97,MATCH(X6,WORLDCUP!$AI$6:$AI$97,0))</f>
        <v>0</v>
      </c>
      <c r="W6" s="43" t="str">
        <f ca="1">+INDEX(WORLDCUP!$AR$6:$AR$97,MATCH(X6,WORLDCUP!$AI$6:$AI$97,0))&amp;"-"&amp;INDEX(WORLDCUP!$AS$6:$AS$97,MATCH(X6,WORLDCUP!$AI$6:$AI$97,0))</f>
        <v>0-0</v>
      </c>
      <c r="X6" s="181" t="s">
        <v>445</v>
      </c>
      <c r="Y6" s="181">
        <v>77</v>
      </c>
      <c r="Z6" s="425" t="s">
        <v>685</v>
      </c>
      <c r="AA6" s="426" t="str">
        <f ca="1">+MID(INDEX(WORLDCUP!$AA$101:$AA$147,MATCH(Y6,WORLDCUP!$Z$101:$Z$147,0)),1,3)</f>
        <v>1I</v>
      </c>
      <c r="AB6" s="472" t="str">
        <f>+IF(ISBLANK(INDEX(WORLDCUP!$AC$101:$AC$147,MATCH(Y6,WORLDCUP!$Z$101:$Z$147,0))),"",INDEX(WORLDCUP!$AC$101:$AC$147,MATCH(Y6,WORLDCUP!$Z$101:$Z$147,0)))</f>
        <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t="str">
        <f>IF(ISBLANK(INDEX(WORLDCUP!$AC$4:$AC$147,MATCH(A7,WORLDCUP!$AH$4:$AH$147,0))),"",INDEX(WORLDCUP!$AC$4:$AC$147,MATCH(A7,WORLDCUP!$AH$4:$AH$147,0)))</f>
        <v/>
      </c>
      <c r="E7" s="445" t="str">
        <f>IF(ISBLANK(INDEX(WORLDCUP!$AD$4:$AD$147,MATCH(A7,WORLDCUP!$AH$4:$AH$147,0))),"",INDEX(WORLDCUP!$AD$4:$AD$147,MATCH(A7,WORLDCUP!$AH$4:$AH$147,0)))</f>
        <v/>
      </c>
      <c r="F7" s="446" t="str">
        <f ca="1">+MID(INDEX(WORLDCUP!$AF$4:$AF$147,MATCH(A7,WORLDCUP!$AH$4:$AH$147,0)),1,3)</f>
        <v>Mex</v>
      </c>
      <c r="G7" s="467">
        <v>4</v>
      </c>
      <c r="H7" s="476" t="str">
        <f ca="1">+MID(INDEX(WORLDCUP!$AL$6:$AL$97,MATCH(L7,WORLDCUP!$AI$6:$AI$97,0)),1,3)</f>
        <v>Cze</v>
      </c>
      <c r="I7" s="477">
        <f ca="1">+INDEX(WORLDCUP!$AM$6:$AM$97,MATCH(L7,WORLDCUP!$AI$6:$AI$97,0))</f>
        <v>0</v>
      </c>
      <c r="J7" s="478">
        <f ca="1">+INDEX(WORLDCUP!$AT$6:$AT$97,MATCH(L7,WORLDCUP!$AI$6:$AI$97,0))</f>
        <v>0</v>
      </c>
      <c r="K7" s="479" t="str">
        <f ca="1">+INDEX(WORLDCUP!$AR$6:$AR$97,MATCH(L7,WORLDCUP!$AI$6:$AI$97,0))&amp;"-"&amp;INDEX(WORLDCUP!$AS$6:$AS$97,MATCH(L7,WORLDCUP!$AI$6:$AI$97,0))</f>
        <v>0-0</v>
      </c>
      <c r="L7" s="181" t="s">
        <v>659</v>
      </c>
      <c r="M7" s="181">
        <v>63</v>
      </c>
      <c r="N7" s="452"/>
      <c r="O7" s="444" t="str">
        <f ca="1">+MID(INDEX(WORLDCUP!$AA$4:$AA$147,MATCH(M7,WORLDCUP!$AH$4:$AH$147,0)),1,3)</f>
        <v>Egy</v>
      </c>
      <c r="P7" s="445" t="str">
        <f>IF(ISBLANK(INDEX(WORLDCUP!$AC$4:$AC$147,MATCH(M7,WORLDCUP!$AH$4:$AH$147,0))),"",INDEX(WORLDCUP!$AC$4:$AC$147,MATCH(M7,WORLDCUP!$AH$4:$AH$147,0)))</f>
        <v/>
      </c>
      <c r="Q7" s="445" t="str">
        <f>IF(ISBLANK(INDEX(WORLDCUP!$AD$4:$AD$147,MATCH(M7,WORLDCUP!$AH$4:$AH$147,0))),"",INDEX(WORLDCUP!$AD$4:$AD$147,MATCH(M7,WORLDCUP!$AH$4:$AH$147,0)))</f>
        <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0</v>
      </c>
      <c r="W7" s="479" t="str">
        <f ca="1">+INDEX(WORLDCUP!$AR$6:$AR$97,MATCH(X7,WORLDCUP!$AI$6:$AI$97,0))&amp;"-"&amp;INDEX(WORLDCUP!$AS$6:$AS$97,MATCH(X7,WORLDCUP!$AI$6:$AI$97,0))</f>
        <v>0-0</v>
      </c>
      <c r="X7" s="181" t="s">
        <v>681</v>
      </c>
      <c r="Y7" s="181">
        <v>77</v>
      </c>
      <c r="Z7" s="425" t="s">
        <v>735</v>
      </c>
      <c r="AA7" s="480" t="str">
        <f ca="1">+MID(INDEX(WORLDCUP!$AF$101:$AF$147,MATCH(Y7,WORLDCUP!$Z$101:$Z$147,0)),1,IF(WORLDCUP!$H$113&lt;144,6,3))</f>
        <v>3CDFGH</v>
      </c>
      <c r="AB7" s="481" t="str">
        <f>+IF(ISBLANK(INDEX(WORLDCUP!$AD$101:$AD$147,MATCH(Y7,WORLDCUP!$Z$101:$Z$147,0))),"",INDEX(WORLDCUP!$AD$101:$AD$147,MATCH(Y7,WORLDCUP!$Z$101:$Z$147,0)))</f>
        <v/>
      </c>
      <c r="AC7" s="482" t="str">
        <f>+IF(ISBLANK(INDEX(WORLDCUP!$AE$101:$AE$147,MATCH(Y7,WORLDCUP!$Z$101:$Z$147,0))),"","( "&amp;INDEX(WORLDCUP!$AE$101:$AE$147,MATCH(Y7,WORLDCUP!$Z$101:$Z$147,0))&amp;" )")</f>
        <v/>
      </c>
      <c r="AD7" s="181"/>
      <c r="AE7" s="474"/>
      <c r="AF7" s="474"/>
      <c r="AG7" s="475"/>
      <c r="AH7" s="455">
        <v>97</v>
      </c>
      <c r="AI7" s="483" t="str">
        <f>+MID(INDEX(WORLDCUP!$AA$101:$AA$147,MATCH(AH7,WORLDCUP!$Z$101:$Z$147,0)),1,3)</f>
        <v>W89</v>
      </c>
      <c r="AJ7" s="484" t="str">
        <f>+IF(ISBLANK(INDEX(WORLDCUP!$AC$101:$AC$147,MATCH(AH7,WORLDCUP!$Z$101:$Z$147,0))),"",INDEX(WORLDCUP!$AC$101:$AC$147,MATCH(AH7,WORLDCUP!$Z$101:$Z$147,0)))</f>
        <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t="str">
        <f>IF(ISBLANK(INDEX(WORLDCUP!$AC$4:$AC$147,MATCH(A8,WORLDCUP!$AH$4:$AH$147,0))),"",INDEX(WORLDCUP!$AC$4:$AC$147,MATCH(A8,WORLDCUP!$AH$4:$AH$147,0)))</f>
        <v/>
      </c>
      <c r="E8" s="488" t="str">
        <f>IF(ISBLANK(INDEX(WORLDCUP!$AD$4:$AD$147,MATCH(A8,WORLDCUP!$AH$4:$AH$147,0))),"",INDEX(WORLDCUP!$AD$4:$AD$147,MATCH(A8,WORLDCUP!$AH$4:$AH$147,0)))</f>
        <v/>
      </c>
      <c r="F8" s="489" t="str">
        <f ca="1">+MID(INDEX(WORLDCUP!$AF$4:$AF$147,MATCH(A8,WORLDCUP!$AH$4:$AH$147,0)),1,3)</f>
        <v>Sou</v>
      </c>
      <c r="G8" s="490"/>
      <c r="H8" s="490"/>
      <c r="I8" s="491"/>
      <c r="J8" s="491"/>
      <c r="K8" s="492"/>
      <c r="L8" s="181"/>
      <c r="M8" s="181">
        <v>64</v>
      </c>
      <c r="N8" s="493"/>
      <c r="O8" s="487" t="str">
        <f ca="1">+MID(INDEX(WORLDCUP!$AA$4:$AA$147,MATCH(M8,WORLDCUP!$AH$4:$AH$147,0)),1,3)</f>
        <v>New</v>
      </c>
      <c r="P8" s="488" t="str">
        <f>IF(ISBLANK(INDEX(WORLDCUP!$AC$4:$AC$147,MATCH(M8,WORLDCUP!$AH$4:$AH$147,0))),"",INDEX(WORLDCUP!$AC$4:$AC$147,MATCH(M8,WORLDCUP!$AH$4:$AH$147,0)))</f>
        <v/>
      </c>
      <c r="Q8" s="488" t="str">
        <f>IF(ISBLANK(INDEX(WORLDCUP!$AD$4:$AD$147,MATCH(M8,WORLDCUP!$AH$4:$AH$147,0))),"",INDEX(WORLDCUP!$AD$4:$AD$147,MATCH(M8,WORLDCUP!$AH$4:$AH$147,0)))</f>
        <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+MID(INDEX(WORLDCUP!$AF$101:$AF$147,MATCH(AH8,WORLDCUP!$Z$101:$Z$147,0)),1,3)</f>
        <v>W90</v>
      </c>
      <c r="AJ8" s="484" t="str">
        <f>+IF(ISBLANK(INDEX(WORLDCUP!$AD$101:$AD$147,MATCH(AH8,WORLDCUP!$Z$101:$Z$147,0))),"",INDEX(WORLDCUP!$AD$101:$AD$147,MATCH(AH8,WORLDCUP!$Z$101:$Z$147,0)))</f>
        <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1</v>
      </c>
      <c r="BI8" s="463">
        <f ca="1">COUNTIF(Pool!$C$130:$C$161,Fixture!BG8)-BJ8-BK8-BL8-BM8-BN8-BO8</f>
        <v>0</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2A</v>
      </c>
      <c r="AB9" s="427" t="str">
        <f>+IF(ISBLANK(INDEX(WORLDCUP!$AC$101:$AC$147,MATCH(Y9,WORLDCUP!$Z$101:$Z$147,0))),"",INDEX(WORLDCUP!$AC$101:$AC$147,MATCH(Y9,WORLDCUP!$Z$101:$Z$147,0)))</f>
        <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2B</v>
      </c>
      <c r="AB10" s="453" t="str">
        <f>+IF(ISBLANK(INDEX(WORLDCUP!$AD$101:$AD$147,MATCH(Y10,WORLDCUP!$Z$101:$Z$147,0))),"",INDEX(WORLDCUP!$AD$101:$AD$147,MATCH(Y10,WORLDCUP!$Z$101:$Z$147,0)))</f>
        <v/>
      </c>
      <c r="AC10" s="454" t="str">
        <f>+IF(ISBLANK(INDEX(WORLDCUP!$AE$101:$AE$147,MATCH(Y10,WORLDCUP!$Z$101:$Z$147,0))),"","( "&amp;INDEX(WORLDCUP!$AE$101:$AE$147,MATCH(Y10,WORLDCUP!$Z$101:$Z$147,0))&amp;" )")</f>
        <v/>
      </c>
      <c r="AD10" s="500">
        <v>90</v>
      </c>
      <c r="AE10" s="456" t="str">
        <f>+MID(INDEX(WORLDCUP!$AA$101:$AA$147,MATCH(AD10,WORLDCUP!$Z$101:$Z$147,0)),1,3)</f>
        <v>W73</v>
      </c>
      <c r="AF10" s="457" t="str">
        <f>+IF(ISBLANK(INDEX(WORLDCUP!$AC$101:$AC$147,MATCH(AD10,WORLDCUP!$Z$101:$Z$147,0))),"",INDEX(WORLDCUP!$AC$101:$AC$147,MATCH(AD10,WORLDCUP!$Z$101:$Z$147,0)))</f>
        <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1</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t="str">
        <f>IF(ISBLANK(INDEX(WORLDCUP!$AC$4:$AC$147,MATCH(A11,WORLDCUP!$AH$4:$AH$147,0))),"",INDEX(WORLDCUP!$AC$4:$AC$147,MATCH(A11,WORLDCUP!$AH$4:$AH$147,0)))</f>
        <v/>
      </c>
      <c r="E11" s="418" t="str">
        <f>IF(ISBLANK(INDEX(WORLDCUP!$AD$4:$AD$147,MATCH(A11,WORLDCUP!$AH$4:$AH$147,0))),"",INDEX(WORLDCUP!$AD$4:$AD$147,MATCH(A11,WORLDCUP!$AH$4:$AH$147,0)))</f>
        <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t="str">
        <f>IF(ISBLANK(INDEX(WORLDCUP!$AC$4:$AC$147,MATCH(M11,WORLDCUP!$AH$4:$AH$147,0))),"",INDEX(WORLDCUP!$AC$4:$AC$147,MATCH(M11,WORLDCUP!$AH$4:$AH$147,0)))</f>
        <v/>
      </c>
      <c r="Q11" s="418" t="str">
        <f>IF(ISBLANK(INDEX(WORLDCUP!$AD$4:$AD$147,MATCH(M11,WORLDCUP!$AH$4:$AH$147,0))),"",INDEX(WORLDCUP!$AD$4:$AD$147,MATCH(M11,WORLDCUP!$AH$4:$AH$147,0)))</f>
        <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+MID(INDEX(WORLDCUP!$AF$101:$AF$147,MATCH(AD11,WORLDCUP!$Z$101:$Z$147,0)),1,3)</f>
        <v>W75</v>
      </c>
      <c r="AF11" s="457" t="str">
        <f>+IF(ISBLANK(INDEX(WORLDCUP!$AD$101:$AD$147,MATCH(AD11,WORLDCUP!$Z$101:$Z$147,0))),"",INDEX(WORLDCUP!$AD$101:$AD$147,MATCH(AD11,WORLDCUP!$Z$101:$Z$147,0)))</f>
        <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t="str">
        <f>IF(ISBLANK(INDEX(WORLDCUP!$AC$4:$AC$147,MATCH(A12,WORLDCUP!$AH$4:$AH$147,0))),"",INDEX(WORLDCUP!$AC$4:$AC$147,MATCH(A12,WORLDCUP!$AH$4:$AH$147,0)))</f>
        <v/>
      </c>
      <c r="E12" s="445" t="str">
        <f>IF(ISBLANK(INDEX(WORLDCUP!$AD$4:$AD$147,MATCH(A12,WORLDCUP!$AH$4:$AH$147,0))),"",INDEX(WORLDCUP!$AD$4:$AD$147,MATCH(A12,WORLDCUP!$AH$4:$AH$147,0)))</f>
        <v/>
      </c>
      <c r="F12" s="446" t="str">
        <f ca="1">+MID(INDEX(WORLDCUP!$AF$4:$AF$147,MATCH(A12,WORLDCUP!$AH$4:$AH$147,0)),1,3)</f>
        <v>Swi</v>
      </c>
      <c r="G12" s="447">
        <v>1</v>
      </c>
      <c r="H12" s="448" t="str">
        <f ca="1">+MID(INDEX(WORLDCUP!$AL$6:$AL$97,MATCH(L12,WORLDCUP!$AI$6:$AI$97,0)),1,3)</f>
        <v>Can</v>
      </c>
      <c r="I12" s="449">
        <f ca="1">+INDEX(WORLDCUP!$AM$6:$AM$97,MATCH(L12,WORLDCUP!$AI$6:$AI$97,0))</f>
        <v>0</v>
      </c>
      <c r="J12" s="450">
        <f ca="1">+INDEX(WORLDCUP!$AT$6:$AT$97,MATCH(L12,WORLDCUP!$AI$6:$AI$97,0))</f>
        <v>0</v>
      </c>
      <c r="K12" s="451" t="str">
        <f ca="1">+INDEX(WORLDCUP!$AR$6:$AR$97,MATCH(L12,WORLDCUP!$AI$6:$AI$97,0))&amp;"-"&amp;INDEX(WORLDCUP!$AS$6:$AS$97,MATCH(L12,WORLDCUP!$AI$6:$AI$97,0))</f>
        <v>0-0</v>
      </c>
      <c r="L12" s="181" t="s">
        <v>660</v>
      </c>
      <c r="M12" s="181">
        <v>13</v>
      </c>
      <c r="N12" s="505"/>
      <c r="O12" s="444" t="str">
        <f ca="1">+MID(INDEX(WORLDCUP!$AA$4:$AA$147,MATCH(M12,WORLDCUP!$AH$4:$AH$147,0)),1,3)</f>
        <v>Sau</v>
      </c>
      <c r="P12" s="445" t="str">
        <f>IF(ISBLANK(INDEX(WORLDCUP!$AC$4:$AC$147,MATCH(M12,WORLDCUP!$AH$4:$AH$147,0))),"",INDEX(WORLDCUP!$AC$4:$AC$147,MATCH(M12,WORLDCUP!$AH$4:$AH$147,0)))</f>
        <v/>
      </c>
      <c r="Q12" s="445" t="str">
        <f>IF(ISBLANK(INDEX(WORLDCUP!$AD$4:$AD$147,MATCH(M12,WORLDCUP!$AH$4:$AH$147,0))),"",INDEX(WORLDCUP!$AD$4:$AD$147,MATCH(M12,WORLDCUP!$AH$4:$AH$147,0)))</f>
        <v/>
      </c>
      <c r="R12" s="446" t="str">
        <f ca="1">+MID(INDEX(WORLDCUP!$AF$4:$AF$147,MATCH(M12,WORLDCUP!$AH$4:$AH$147,0)),1,3)</f>
        <v>Uru</v>
      </c>
      <c r="S12" s="447">
        <v>1</v>
      </c>
      <c r="T12" s="448" t="str">
        <f ca="1">+MID(INDEX(WORLDCUP!$AL$6:$AL$97,MATCH(X12,WORLDCUP!$AI$6:$AI$97,0)),1,3)</f>
        <v>Spa</v>
      </c>
      <c r="U12" s="449">
        <f ca="1">+INDEX(WORLDCUP!$AM$6:$AM$97,MATCH(X12,WORLDCUP!$AI$6:$AI$97,0))</f>
        <v>0</v>
      </c>
      <c r="V12" s="450">
        <f ca="1">+INDEX(WORLDCUP!$AT$6:$AT$97,MATCH(X12,WORLDCUP!$AI$6:$AI$97,0))</f>
        <v>0</v>
      </c>
      <c r="W12" s="451" t="str">
        <f ca="1">+INDEX(WORLDCUP!$AR$6:$AR$97,MATCH(X12,WORLDCUP!$AI$6:$AI$97,0))&amp;"-"&amp;INDEX(WORLDCUP!$AS$6:$AS$97,MATCH(X12,WORLDCUP!$AI$6:$AI$97,0))</f>
        <v>0-0</v>
      </c>
      <c r="X12" s="181" t="s">
        <v>682</v>
      </c>
      <c r="Y12" s="181">
        <v>75</v>
      </c>
      <c r="Z12" s="425" t="s">
        <v>676</v>
      </c>
      <c r="AA12" s="426" t="str">
        <f ca="1">+MID(INDEX(WORLDCUP!$AA$101:$AA$147,MATCH(Y12,WORLDCUP!$Z$101:$Z$147,0)),1,3)</f>
        <v>1F</v>
      </c>
      <c r="AB12" s="472" t="str">
        <f>+IF(ISBLANK(INDEX(WORLDCUP!$AC$101:$AC$147,MATCH(Y12,WORLDCUP!$Z$101:$Z$147,0))),"",INDEX(WORLDCUP!$AC$101:$AC$147,MATCH(Y12,WORLDCUP!$Z$101:$Z$147,0)))</f>
        <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t="str">
        <f>IF(ISBLANK(INDEX(WORLDCUP!$AC$4:$AC$147,MATCH(A13,WORLDCUP!$AH$4:$AH$147,0))),"",INDEX(WORLDCUP!$AC$4:$AC$147,MATCH(A13,WORLDCUP!$AH$4:$AH$147,0)))</f>
        <v/>
      </c>
      <c r="E13" s="445" t="str">
        <f>IF(ISBLANK(INDEX(WORLDCUP!$AD$4:$AD$147,MATCH(A13,WORLDCUP!$AH$4:$AH$147,0))),"",INDEX(WORLDCUP!$AD$4:$AD$147,MATCH(A13,WORLDCUP!$AH$4:$AH$147,0)))</f>
        <v/>
      </c>
      <c r="F13" s="446" t="str">
        <f ca="1">+MID(INDEX(WORLDCUP!$AF$4:$AF$147,MATCH(A13,WORLDCUP!$AH$4:$AH$147,0)),1,3)</f>
        <v>Bos</v>
      </c>
      <c r="G13" s="467">
        <v>2</v>
      </c>
      <c r="H13" s="468" t="str">
        <f ca="1">+MID(INDEX(WORLDCUP!$AL$6:$AL$97,MATCH(L13,WORLDCUP!$AI$6:$AI$97,0)),1,3)</f>
        <v>Bos</v>
      </c>
      <c r="I13" s="38">
        <f ca="1">+INDEX(WORLDCUP!$AM$6:$AM$97,MATCH(L13,WORLDCUP!$AI$6:$AI$97,0))</f>
        <v>0</v>
      </c>
      <c r="J13" s="39">
        <f ca="1">+INDEX(WORLDCUP!$AT$6:$AT$97,MATCH(L13,WORLDCUP!$AI$6:$AI$97,0))</f>
        <v>0</v>
      </c>
      <c r="K13" s="43" t="str">
        <f ca="1">+INDEX(WORLDCUP!$AR$6:$AR$97,MATCH(L13,WORLDCUP!$AI$6:$AI$97,0))&amp;"-"&amp;INDEX(WORLDCUP!$AS$6:$AS$97,MATCH(L13,WORLDCUP!$AI$6:$AI$97,0))</f>
        <v>0-0</v>
      </c>
      <c r="L13" s="181" t="s">
        <v>661</v>
      </c>
      <c r="M13" s="181">
        <v>38</v>
      </c>
      <c r="N13" s="505"/>
      <c r="O13" s="444" t="str">
        <f ca="1">+MID(INDEX(WORLDCUP!$AA$4:$AA$147,MATCH(M13,WORLDCUP!$AH$4:$AH$147,0)),1,3)</f>
        <v>Spa</v>
      </c>
      <c r="P13" s="445" t="str">
        <f>IF(ISBLANK(INDEX(WORLDCUP!$AC$4:$AC$147,MATCH(M13,WORLDCUP!$AH$4:$AH$147,0))),"",INDEX(WORLDCUP!$AC$4:$AC$147,MATCH(M13,WORLDCUP!$AH$4:$AH$147,0)))</f>
        <v/>
      </c>
      <c r="Q13" s="445" t="str">
        <f>IF(ISBLANK(INDEX(WORLDCUP!$AD$4:$AD$147,MATCH(M13,WORLDCUP!$AH$4:$AH$147,0))),"",INDEX(WORLDCUP!$AD$4:$AD$147,MATCH(M13,WORLDCUP!$AH$4:$AH$147,0)))</f>
        <v/>
      </c>
      <c r="R13" s="446" t="str">
        <f ca="1">+MID(INDEX(WORLDCUP!$AF$4:$AF$147,MATCH(M13,WORLDCUP!$AH$4:$AH$147,0)),1,3)</f>
        <v>Sau</v>
      </c>
      <c r="S13" s="467">
        <v>2</v>
      </c>
      <c r="T13" s="468" t="str">
        <f ca="1">+MID(INDEX(WORLDCUP!$AL$6:$AL$97,MATCH(X13,WORLDCUP!$AI$6:$AI$97,0)),1,3)</f>
        <v>Cap</v>
      </c>
      <c r="U13" s="38">
        <f ca="1">+INDEX(WORLDCUP!$AM$6:$AM$97,MATCH(X13,WORLDCUP!$AI$6:$AI$97,0))</f>
        <v>0</v>
      </c>
      <c r="V13" s="39">
        <f ca="1">+INDEX(WORLDCUP!$AT$6:$AT$97,MATCH(X13,WORLDCUP!$AI$6:$AI$97,0))</f>
        <v>0</v>
      </c>
      <c r="W13" s="43" t="str">
        <f ca="1">+INDEX(WORLDCUP!$AR$6:$AR$97,MATCH(X13,WORLDCUP!$AI$6:$AI$97,0))&amp;"-"&amp;INDEX(WORLDCUP!$AS$6:$AS$97,MATCH(X13,WORLDCUP!$AI$6:$AI$97,0))</f>
        <v>0-0</v>
      </c>
      <c r="X13" s="181" t="s">
        <v>683</v>
      </c>
      <c r="Y13" s="181">
        <v>75</v>
      </c>
      <c r="Z13" s="425" t="s">
        <v>668</v>
      </c>
      <c r="AA13" s="480" t="str">
        <f ca="1">+MID(INDEX(WORLDCUP!$AF$101:$AF$147,MATCH(Y13,WORLDCUP!$Z$101:$Z$147,0)),1,3)</f>
        <v>2C</v>
      </c>
      <c r="AB13" s="481" t="str">
        <f>+IF(ISBLANK(INDEX(WORLDCUP!$AD$101:$AD$147,MATCH(Y13,WORLDCUP!$Z$101:$Z$147,0))),"",INDEX(WORLDCUP!$AD$101:$AD$147,MATCH(Y13,WORLDCUP!$Z$101:$Z$147,0)))</f>
        <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+MID(INDEX(WORLDCUP!$AA$101:$AA$147,MATCH(AL13,WORLDCUP!$Z$101:$Z$147,0)),1,3)</f>
        <v>W97</v>
      </c>
      <c r="AN13" s="509" t="str">
        <f>+IF(ISBLANK(INDEX(WORLDCUP!$AC$101:$AC$147,MATCH(AL13,WORLDCUP!$Z$101:$Z$147,0))),"",INDEX(WORLDCUP!$AC$101:$AC$147,MATCH(AL13,WORLDCUP!$Z$101:$Z$147,0)))</f>
        <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t="str">
        <f>IF(ISBLANK(INDEX(WORLDCUP!$AC$4:$AC$147,MATCH(A14,WORLDCUP!$AH$4:$AH$147,0))),"",INDEX(WORLDCUP!$AC$4:$AC$147,MATCH(A14,WORLDCUP!$AH$4:$AH$147,0)))</f>
        <v/>
      </c>
      <c r="E14" s="445" t="str">
        <f>IF(ISBLANK(INDEX(WORLDCUP!$AD$4:$AD$147,MATCH(A14,WORLDCUP!$AH$4:$AH$147,0))),"",INDEX(WORLDCUP!$AD$4:$AD$147,MATCH(A14,WORLDCUP!$AH$4:$AH$147,0)))</f>
        <v/>
      </c>
      <c r="F14" s="446" t="str">
        <f ca="1">+MID(INDEX(WORLDCUP!$AF$4:$AF$147,MATCH(A14,WORLDCUP!$AH$4:$AH$147,0)),1,3)</f>
        <v>Qat</v>
      </c>
      <c r="G14" s="467">
        <v>3</v>
      </c>
      <c r="H14" s="468" t="str">
        <f ca="1">+MID(INDEX(WORLDCUP!$AL$6:$AL$97,MATCH(L14,WORLDCUP!$AI$6:$AI$97,0)),1,3)</f>
        <v>Qat</v>
      </c>
      <c r="I14" s="38">
        <f ca="1">+INDEX(WORLDCUP!$AM$6:$AM$97,MATCH(L14,WORLDCUP!$AI$6:$AI$97,0))</f>
        <v>0</v>
      </c>
      <c r="J14" s="39">
        <f ca="1">+INDEX(WORLDCUP!$AT$6:$AT$97,MATCH(L14,WORLDCUP!$AI$6:$AI$97,0))</f>
        <v>0</v>
      </c>
      <c r="K14" s="43" t="str">
        <f ca="1">+INDEX(WORLDCUP!$AR$6:$AR$97,MATCH(L14,WORLDCUP!$AI$6:$AI$97,0))&amp;"-"&amp;INDEX(WORLDCUP!$AS$6:$AS$97,MATCH(L14,WORLDCUP!$AI$6:$AI$97,0))</f>
        <v>0-0</v>
      </c>
      <c r="L14" s="181" t="s">
        <v>91</v>
      </c>
      <c r="M14" s="181">
        <v>37</v>
      </c>
      <c r="N14" s="505"/>
      <c r="O14" s="444" t="str">
        <f ca="1">+MID(INDEX(WORLDCUP!$AA$4:$AA$147,MATCH(M14,WORLDCUP!$AH$4:$AH$147,0)),1,3)</f>
        <v>Uru</v>
      </c>
      <c r="P14" s="445" t="str">
        <f>IF(ISBLANK(INDEX(WORLDCUP!$AC$4:$AC$147,MATCH(M14,WORLDCUP!$AH$4:$AH$147,0))),"",INDEX(WORLDCUP!$AC$4:$AC$147,MATCH(M14,WORLDCUP!$AH$4:$AH$147,0)))</f>
        <v/>
      </c>
      <c r="Q14" s="445" t="str">
        <f>IF(ISBLANK(INDEX(WORLDCUP!$AD$4:$AD$147,MATCH(M14,WORLDCUP!$AH$4:$AH$147,0))),"",INDEX(WORLDCUP!$AD$4:$AD$147,MATCH(M14,WORLDCUP!$AH$4:$AH$147,0)))</f>
        <v/>
      </c>
      <c r="R14" s="446" t="str">
        <f ca="1">+MID(INDEX(WORLDCUP!$AF$4:$AF$147,MATCH(M14,WORLDCUP!$AH$4:$AH$147,0)),1,3)</f>
        <v>Cap</v>
      </c>
      <c r="S14" s="467">
        <v>3</v>
      </c>
      <c r="T14" s="468" t="str">
        <f ca="1">+MID(INDEX(WORLDCUP!$AL$6:$AL$97,MATCH(X14,WORLDCUP!$AI$6:$AI$97,0)),1,3)</f>
        <v>Sau</v>
      </c>
      <c r="U14" s="38">
        <f ca="1">+INDEX(WORLDCUP!$AM$6:$AM$97,MATCH(X14,WORLDCUP!$AI$6:$AI$97,0))</f>
        <v>0</v>
      </c>
      <c r="V14" s="39">
        <f ca="1">+INDEX(WORLDCUP!$AT$6:$AT$97,MATCH(X14,WORLDCUP!$AI$6:$AI$97,0))</f>
        <v>0</v>
      </c>
      <c r="W14" s="43" t="str">
        <f ca="1">+INDEX(WORLDCUP!$AR$6:$AR$97,MATCH(X14,WORLDCUP!$AI$6:$AI$97,0))&amp;"-"&amp;INDEX(WORLDCUP!$AS$6:$AS$97,MATCH(X14,WORLDCUP!$AI$6:$AI$97,0))</f>
        <v>0-0</v>
      </c>
      <c r="X14" s="181" t="s">
        <v>446</v>
      </c>
      <c r="Y14" s="181"/>
      <c r="Z14" s="425"/>
      <c r="AA14" s="494"/>
      <c r="AB14" s="494"/>
      <c r="AC14" s="494"/>
      <c r="AD14" s="181"/>
      <c r="AE14" s="429"/>
      <c r="AF14" s="429"/>
      <c r="AG14" s="429"/>
      <c r="AH14" s="181"/>
      <c r="AI14" s="459"/>
      <c r="AJ14" s="459"/>
      <c r="AK14" s="499"/>
      <c r="AL14" s="181">
        <v>101</v>
      </c>
      <c r="AM14" s="508" t="str">
        <f>+MID(INDEX(WORLDCUP!$AF$101:$AF$147,MATCH(AL14,WORLDCUP!$Z$101:$Z$147,0)),1,3)</f>
        <v>W98</v>
      </c>
      <c r="AN14" s="509" t="str">
        <f>+IF(ISBLANK(INDEX(WORLDCUP!$AD$101:$AD$147,MATCH(AL14,WORLDCUP!$Z$101:$Z$147,0))),"",INDEX(WORLDCUP!$AD$101:$AD$147,MATCH(AL14,WORLDCUP!$Z$101:$Z$147,0)))</f>
        <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t="str">
        <f>IF(ISBLANK(INDEX(WORLDCUP!$AC$4:$AC$147,MATCH(A15,WORLDCUP!$AH$4:$AH$147,0))),"",INDEX(WORLDCUP!$AC$4:$AC$147,MATCH(A15,WORLDCUP!$AH$4:$AH$147,0)))</f>
        <v/>
      </c>
      <c r="E15" s="445" t="str">
        <f>IF(ISBLANK(INDEX(WORLDCUP!$AD$4:$AD$147,MATCH(A15,WORLDCUP!$AH$4:$AH$147,0))),"",INDEX(WORLDCUP!$AD$4:$AD$147,MATCH(A15,WORLDCUP!$AH$4:$AH$147,0)))</f>
        <v/>
      </c>
      <c r="F15" s="446" t="str">
        <f ca="1">+MID(INDEX(WORLDCUP!$AF$4:$AF$147,MATCH(A15,WORLDCUP!$AH$4:$AH$147,0)),1,3)</f>
        <v>Can</v>
      </c>
      <c r="G15" s="467">
        <v>4</v>
      </c>
      <c r="H15" s="476" t="str">
        <f ca="1">+MID(INDEX(WORLDCUP!$AL$6:$AL$97,MATCH(L15,WORLDCUP!$AI$6:$AI$97,0)),1,3)</f>
        <v>Swi</v>
      </c>
      <c r="I15" s="477">
        <f ca="1">+INDEX(WORLDCUP!$AM$6:$AM$97,MATCH(L15,WORLDCUP!$AI$6:$AI$97,0))</f>
        <v>0</v>
      </c>
      <c r="J15" s="478">
        <f ca="1">+INDEX(WORLDCUP!$AT$6:$AT$97,MATCH(L15,WORLDCUP!$AI$6:$AI$97,0))</f>
        <v>0</v>
      </c>
      <c r="K15" s="479" t="str">
        <f ca="1">+INDEX(WORLDCUP!$AR$6:$AR$97,MATCH(L15,WORLDCUP!$AI$6:$AI$97,0))&amp;"-"&amp;INDEX(WORLDCUP!$AS$6:$AS$97,MATCH(L15,WORLDCUP!$AI$6:$AI$97,0))</f>
        <v>0-0</v>
      </c>
      <c r="L15" s="181" t="s">
        <v>662</v>
      </c>
      <c r="M15" s="181">
        <v>65</v>
      </c>
      <c r="N15" s="505"/>
      <c r="O15" s="444" t="str">
        <f ca="1">+MID(INDEX(WORLDCUP!$AA$4:$AA$147,MATCH(M15,WORLDCUP!$AH$4:$AH$147,0)),1,3)</f>
        <v>Cap</v>
      </c>
      <c r="P15" s="445" t="str">
        <f>IF(ISBLANK(INDEX(WORLDCUP!$AC$4:$AC$147,MATCH(M15,WORLDCUP!$AH$4:$AH$147,0))),"",INDEX(WORLDCUP!$AC$4:$AC$147,MATCH(M15,WORLDCUP!$AH$4:$AH$147,0)))</f>
        <v/>
      </c>
      <c r="Q15" s="445" t="str">
        <f>IF(ISBLANK(INDEX(WORLDCUP!$AD$4:$AD$147,MATCH(M15,WORLDCUP!$AH$4:$AH$147,0))),"",INDEX(WORLDCUP!$AD$4:$AD$147,MATCH(M15,WORLDCUP!$AH$4:$AH$147,0)))</f>
        <v/>
      </c>
      <c r="R15" s="446" t="str">
        <f ca="1">+MID(INDEX(WORLDCUP!$AF$4:$AF$147,MATCH(M15,WORLDCUP!$AH$4:$AH$147,0)),1,3)</f>
        <v>Sau</v>
      </c>
      <c r="S15" s="467">
        <v>4</v>
      </c>
      <c r="T15" s="476" t="str">
        <f ca="1">+MID(INDEX(WORLDCUP!$AL$6:$AL$97,MATCH(X15,WORLDCUP!$AI$6:$AI$97,0)),1,3)</f>
        <v>Uru</v>
      </c>
      <c r="U15" s="477">
        <f ca="1">+INDEX(WORLDCUP!$AM$6:$AM$97,MATCH(X15,WORLDCUP!$AI$6:$AI$97,0))</f>
        <v>0</v>
      </c>
      <c r="V15" s="478">
        <f ca="1">+INDEX(WORLDCUP!$AT$6:$AT$97,MATCH(X15,WORLDCUP!$AI$6:$AI$97,0))</f>
        <v>0</v>
      </c>
      <c r="W15" s="479" t="str">
        <f ca="1">+INDEX(WORLDCUP!$AR$6:$AR$97,MATCH(X15,WORLDCUP!$AI$6:$AI$97,0))&amp;"-"&amp;INDEX(WORLDCUP!$AS$6:$AS$97,MATCH(X15,WORLDCUP!$AI$6:$AI$97,0))</f>
        <v>0-0</v>
      </c>
      <c r="X15" s="181" t="s">
        <v>684</v>
      </c>
      <c r="Y15" s="181">
        <v>83</v>
      </c>
      <c r="Z15" s="425" t="s">
        <v>692</v>
      </c>
      <c r="AA15" s="426" t="str">
        <f ca="1">+MID(INDEX(WORLDCUP!$AA$101:$AA$147,MATCH(Y15,WORLDCUP!$Z$101:$Z$147,0)),1,3)</f>
        <v>2K</v>
      </c>
      <c r="AB15" s="427" t="str">
        <f>+IF(ISBLANK(INDEX(WORLDCUP!$AC$101:$AC$147,MATCH(Y15,WORLDCUP!$Z$101:$Z$147,0))),"",INDEX(WORLDCUP!$AC$101:$AC$147,MATCH(Y15,WORLDCUP!$Z$101:$Z$147,0)))</f>
        <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t="str">
        <f>IF(ISBLANK(INDEX(WORLDCUP!$AC$4:$AC$147,MATCH(A16,WORLDCUP!$AH$4:$AH$147,0))),"",INDEX(WORLDCUP!$AC$4:$AC$147,MATCH(A16,WORLDCUP!$AH$4:$AH$147,0)))</f>
        <v/>
      </c>
      <c r="E16" s="488" t="str">
        <f>IF(ISBLANK(INDEX(WORLDCUP!$AD$4:$AD$147,MATCH(A16,WORLDCUP!$AH$4:$AH$147,0))),"",INDEX(WORLDCUP!$AD$4:$AD$147,MATCH(A16,WORLDCUP!$AH$4:$AH$147,0)))</f>
        <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t="str">
        <f>IF(ISBLANK(INDEX(WORLDCUP!$AC$4:$AC$147,MATCH(M16,WORLDCUP!$AH$4:$AH$147,0))),"",INDEX(WORLDCUP!$AC$4:$AC$147,MATCH(M16,WORLDCUP!$AH$4:$AH$147,0)))</f>
        <v/>
      </c>
      <c r="Q16" s="488" t="str">
        <f>IF(ISBLANK(INDEX(WORLDCUP!$AD$4:$AD$147,MATCH(M16,WORLDCUP!$AH$4:$AH$147,0))),"",INDEX(WORLDCUP!$AD$4:$AD$147,MATCH(M16,WORLDCUP!$AH$4:$AH$147,0)))</f>
        <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2L</v>
      </c>
      <c r="AB16" s="453" t="str">
        <f>+IF(ISBLANK(INDEX(WORLDCUP!$AD$101:$AD$147,MATCH(Y16,WORLDCUP!$Z$101:$Z$147,0))),"",INDEX(WORLDCUP!$AD$101:$AD$147,MATCH(Y16,WORLDCUP!$Z$101:$Z$147,0)))</f>
        <v/>
      </c>
      <c r="AC16" s="454" t="str">
        <f>+IF(ISBLANK(INDEX(WORLDCUP!$AE$101:$AE$147,MATCH(Y16,WORLDCUP!$Z$101:$Z$147,0))),"","( "&amp;INDEX(WORLDCUP!$AE$101:$AE$147,MATCH(Y16,WORLDCUP!$Z$101:$Z$147,0))&amp;" )")</f>
        <v/>
      </c>
      <c r="AD16" s="455">
        <v>93</v>
      </c>
      <c r="AE16" s="456" t="str">
        <f>+MID(INDEX(WORLDCUP!$AA$101:$AA$147,MATCH(AD16,WORLDCUP!$Z$101:$Z$147,0)),1,3)</f>
        <v>W83</v>
      </c>
      <c r="AF16" s="457" t="str">
        <f>+IF(ISBLANK(INDEX(WORLDCUP!$AC$101:$AC$147,MATCH(AD16,WORLDCUP!$Z$101:$Z$147,0))),"",INDEX(WORLDCUP!$AC$101:$AC$147,MATCH(AD16,WORLDCUP!$Z$101:$Z$147,0)))</f>
        <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+MID(INDEX(WORLDCUP!$AF$101:$AF$147,MATCH(AD17,WORLDCUP!$Z$101:$Z$147,0)),1,3)</f>
        <v>W84</v>
      </c>
      <c r="AF17" s="457" t="str">
        <f>+IF(ISBLANK(INDEX(WORLDCUP!$AD$101:$AD$147,MATCH(AD17,WORLDCUP!$Z$101:$Z$147,0))),"",INDEX(WORLDCUP!$AD$101:$AD$147,MATCH(AD17,WORLDCUP!$Z$101:$Z$147,0)))</f>
        <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1H</v>
      </c>
      <c r="AB18" s="472" t="str">
        <f>+IF(ISBLANK(INDEX(WORLDCUP!$AC$101:$AC$147,MATCH(Y18,WORLDCUP!$Z$101:$Z$147,0))),"",INDEX(WORLDCUP!$AC$101:$AC$147,MATCH(Y18,WORLDCUP!$Z$101:$Z$147,0)))</f>
        <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t="str">
        <f>IF(ISBLANK(INDEX(WORLDCUP!$AC$4:$AC$147,MATCH(A19,WORLDCUP!$AH$4:$AH$147,0))),"",INDEX(WORLDCUP!$AC$4:$AC$147,MATCH(A19,WORLDCUP!$AH$4:$AH$147,0)))</f>
        <v/>
      </c>
      <c r="E19" s="418" t="str">
        <f>IF(ISBLANK(INDEX(WORLDCUP!$AD$4:$AD$147,MATCH(A19,WORLDCUP!$AH$4:$AH$147,0))),"",INDEX(WORLDCUP!$AD$4:$AD$147,MATCH(A19,WORLDCUP!$AH$4:$AH$147,0)))</f>
        <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t="str">
        <f>IF(ISBLANK(INDEX(WORLDCUP!$AC$4:$AC$147,MATCH(M19,WORLDCUP!$AH$4:$AH$147,0))),"",INDEX(WORLDCUP!$AC$4:$AC$147,MATCH(M19,WORLDCUP!$AH$4:$AH$147,0)))</f>
        <v/>
      </c>
      <c r="Q19" s="418" t="str">
        <f>IF(ISBLANK(INDEX(WORLDCUP!$AD$4:$AD$147,MATCH(M19,WORLDCUP!$AH$4:$AH$147,0))),"",INDEX(WORLDCUP!$AD$4:$AD$147,MATCH(M19,WORLDCUP!$AH$4:$AH$147,0)))</f>
        <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2J</v>
      </c>
      <c r="AB19" s="481" t="str">
        <f>+IF(ISBLANK(INDEX(WORLDCUP!$AD$101:$AD$147,MATCH(Y19,WORLDCUP!$Z$101:$Z$147,0))),"",INDEX(WORLDCUP!$AD$101:$AD$147,MATCH(Y19,WORLDCUP!$Z$101:$Z$147,0)))</f>
        <v/>
      </c>
      <c r="AC19" s="507" t="str">
        <f>+IF(ISBLANK(INDEX(WORLDCUP!$AE$101:$AE$147,MATCH(Y19,WORLDCUP!$Z$101:$Z$147,0))),"","( "&amp;INDEX(WORLDCUP!$AE$101:$AE$147,MATCH(Y19,WORLDCUP!$Z$101:$Z$147,0))&amp;" )")</f>
        <v/>
      </c>
      <c r="AD19" s="181"/>
      <c r="AE19" s="474"/>
      <c r="AF19" s="474"/>
      <c r="AG19" s="475"/>
      <c r="AH19" s="500">
        <v>98</v>
      </c>
      <c r="AI19" s="483" t="str">
        <f>+MID(INDEX(WORLDCUP!$AA$101:$AA$147,MATCH(AH19,WORLDCUP!$Z$101:$Z$147,0)),1,3)</f>
        <v>W93</v>
      </c>
      <c r="AJ19" s="484" t="str">
        <f>+IF(ISBLANK(INDEX(WORLDCUP!$AC$101:$AC$147,MATCH(AH19,WORLDCUP!$Z$101:$Z$147,0))),"",INDEX(WORLDCUP!$AC$101:$AC$147,MATCH(AH19,WORLDCUP!$Z$101:$Z$147,0)))</f>
        <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t="str">
        <f>IF(ISBLANK(INDEX(WORLDCUP!$AC$4:$AC$147,MATCH(A20,WORLDCUP!$AH$4:$AH$147,0))),"",INDEX(WORLDCUP!$AC$4:$AC$147,MATCH(A20,WORLDCUP!$AH$4:$AH$147,0)))</f>
        <v/>
      </c>
      <c r="E20" s="445" t="str">
        <f>IF(ISBLANK(INDEX(WORLDCUP!$AD$4:$AD$147,MATCH(A20,WORLDCUP!$AH$4:$AH$147,0))),"",INDEX(WORLDCUP!$AD$4:$AD$147,MATCH(A20,WORLDCUP!$AH$4:$AH$147,0)))</f>
        <v/>
      </c>
      <c r="F20" s="446" t="str">
        <f ca="1">+MID(INDEX(WORLDCUP!$AF$4:$AF$147,MATCH(A20,WORLDCUP!$AH$4:$AH$147,0)),1,3)</f>
        <v>Sco</v>
      </c>
      <c r="G20" s="447">
        <v>1</v>
      </c>
      <c r="H20" s="448" t="str">
        <f ca="1">+MID(INDEX(WORLDCUP!$AL$6:$AL$97,MATCH(L20,WORLDCUP!$AI$6:$AI$97,0)),1,3)</f>
        <v>Bra</v>
      </c>
      <c r="I20" s="449">
        <f ca="1">+INDEX(WORLDCUP!$AM$6:$AM$97,MATCH(L20,WORLDCUP!$AI$6:$AI$97,0))</f>
        <v>0</v>
      </c>
      <c r="J20" s="450">
        <f ca="1">+INDEX(WORLDCUP!$AT$6:$AT$97,MATCH(L20,WORLDCUP!$AI$6:$AI$97,0))</f>
        <v>0</v>
      </c>
      <c r="K20" s="451" t="str">
        <f ca="1">+INDEX(WORLDCUP!$AR$6:$AR$97,MATCH(L20,WORLDCUP!$AI$6:$AI$97,0))&amp;"-"&amp;INDEX(WORLDCUP!$AS$6:$AS$97,MATCH(L20,WORLDCUP!$AI$6:$AI$97,0))</f>
        <v>0-0</v>
      </c>
      <c r="L20" s="181" t="s">
        <v>663</v>
      </c>
      <c r="M20" s="181">
        <v>18</v>
      </c>
      <c r="N20" s="522"/>
      <c r="O20" s="444" t="str">
        <f ca="1">+MID(INDEX(WORLDCUP!$AA$4:$AA$147,MATCH(M20,WORLDCUP!$AH$4:$AH$147,0)),1,3)</f>
        <v>Ira</v>
      </c>
      <c r="P20" s="445" t="str">
        <f>IF(ISBLANK(INDEX(WORLDCUP!$AC$4:$AC$147,MATCH(M20,WORLDCUP!$AH$4:$AH$147,0))),"",INDEX(WORLDCUP!$AC$4:$AC$147,MATCH(M20,WORLDCUP!$AH$4:$AH$147,0)))</f>
        <v/>
      </c>
      <c r="Q20" s="445" t="str">
        <f>IF(ISBLANK(INDEX(WORLDCUP!$AD$4:$AD$147,MATCH(M20,WORLDCUP!$AH$4:$AH$147,0))),"",INDEX(WORLDCUP!$AD$4:$AD$147,MATCH(M20,WORLDCUP!$AH$4:$AH$147,0)))</f>
        <v/>
      </c>
      <c r="R20" s="446" t="str">
        <f ca="1">+MID(INDEX(WORLDCUP!$AF$4:$AF$147,MATCH(M20,WORLDCUP!$AH$4:$AH$147,0)),1,3)</f>
        <v>Nor</v>
      </c>
      <c r="S20" s="447">
        <v>1</v>
      </c>
      <c r="T20" s="448" t="str">
        <f ca="1">+MID(INDEX(WORLDCUP!$AL$6:$AL$97,MATCH(X20,WORLDCUP!$AI$6:$AI$97,0)),1,3)</f>
        <v>Fra</v>
      </c>
      <c r="U20" s="449">
        <f ca="1">+INDEX(WORLDCUP!$AM$6:$AM$97,MATCH(X20,WORLDCUP!$AI$6:$AI$97,0))</f>
        <v>0</v>
      </c>
      <c r="V20" s="450">
        <f ca="1">+INDEX(WORLDCUP!$AT$6:$AT$97,MATCH(X20,WORLDCUP!$AI$6:$AI$97,0))</f>
        <v>0</v>
      </c>
      <c r="W20" s="451" t="str">
        <f ca="1">+INDEX(WORLDCUP!$AR$6:$AR$97,MATCH(X20,WORLDCUP!$AI$6:$AI$97,0))&amp;"-"&amp;INDEX(WORLDCUP!$AS$6:$AS$97,MATCH(X20,WORLDCUP!$AI$6:$AI$97,0))</f>
        <v>0-0</v>
      </c>
      <c r="X20" s="181" t="s">
        <v>685</v>
      </c>
      <c r="Y20" s="181"/>
      <c r="Z20" s="425"/>
      <c r="AA20" s="494"/>
      <c r="AB20" s="494"/>
      <c r="AC20" s="494"/>
      <c r="AD20" s="181"/>
      <c r="AE20" s="429"/>
      <c r="AF20" s="429"/>
      <c r="AG20" s="475"/>
      <c r="AH20" s="181">
        <v>98</v>
      </c>
      <c r="AI20" s="483" t="str">
        <f>+MID(INDEX(WORLDCUP!$AF$101:$AF$147,MATCH(AH20,WORLDCUP!$Z$101:$Z$147,0)),1,3)</f>
        <v>W94</v>
      </c>
      <c r="AJ20" s="484" t="str">
        <f>+IF(ISBLANK(INDEX(WORLDCUP!$AD$101:$AD$147,MATCH(AH20,WORLDCUP!$Z$101:$Z$147,0))),"",INDEX(WORLDCUP!$AD$101:$AD$147,MATCH(AH20,WORLDCUP!$Z$101:$Z$147,0)))</f>
        <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1</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t="str">
        <f>IF(ISBLANK(INDEX(WORLDCUP!$AC$4:$AC$147,MATCH(A21,WORLDCUP!$AH$4:$AH$147,0))),"",INDEX(WORLDCUP!$AC$4:$AC$147,MATCH(A21,WORLDCUP!$AH$4:$AH$147,0)))</f>
        <v/>
      </c>
      <c r="E21" s="445" t="str">
        <f>IF(ISBLANK(INDEX(WORLDCUP!$AD$4:$AD$147,MATCH(A21,WORLDCUP!$AH$4:$AH$147,0))),"",INDEX(WORLDCUP!$AD$4:$AD$147,MATCH(A21,WORLDCUP!$AH$4:$AH$147,0)))</f>
        <v/>
      </c>
      <c r="F21" s="446" t="str">
        <f ca="1">+MID(INDEX(WORLDCUP!$AF$4:$AF$147,MATCH(A21,WORLDCUP!$AH$4:$AH$147,0)),1,3)</f>
        <v>Mor</v>
      </c>
      <c r="G21" s="467">
        <v>2</v>
      </c>
      <c r="H21" s="468" t="str">
        <f ca="1">+MID(INDEX(WORLDCUP!$AL$6:$AL$97,MATCH(L21,WORLDCUP!$AI$6:$AI$97,0)),1,3)</f>
        <v>Mor</v>
      </c>
      <c r="I21" s="38">
        <f ca="1">+INDEX(WORLDCUP!$AM$6:$AM$97,MATCH(L21,WORLDCUP!$AI$6:$AI$97,0))</f>
        <v>0</v>
      </c>
      <c r="J21" s="39">
        <f ca="1">+INDEX(WORLDCUP!$AT$6:$AT$97,MATCH(L21,WORLDCUP!$AI$6:$AI$97,0))</f>
        <v>0</v>
      </c>
      <c r="K21" s="43" t="str">
        <f ca="1">+INDEX(WORLDCUP!$AR$6:$AR$97,MATCH(L21,WORLDCUP!$AI$6:$AI$97,0))&amp;"-"&amp;INDEX(WORLDCUP!$AS$6:$AS$97,MATCH(L21,WORLDCUP!$AI$6:$AI$97,0))</f>
        <v>0-0</v>
      </c>
      <c r="L21" s="181" t="s">
        <v>668</v>
      </c>
      <c r="M21" s="181">
        <v>42</v>
      </c>
      <c r="N21" s="522"/>
      <c r="O21" s="444" t="str">
        <f ca="1">+MID(INDEX(WORLDCUP!$AA$4:$AA$147,MATCH(M21,WORLDCUP!$AH$4:$AH$147,0)),1,3)</f>
        <v>Fra</v>
      </c>
      <c r="P21" s="445" t="str">
        <f>IF(ISBLANK(INDEX(WORLDCUP!$AC$4:$AC$147,MATCH(M21,WORLDCUP!$AH$4:$AH$147,0))),"",INDEX(WORLDCUP!$AC$4:$AC$147,MATCH(M21,WORLDCUP!$AH$4:$AH$147,0)))</f>
        <v/>
      </c>
      <c r="Q21" s="445" t="str">
        <f>IF(ISBLANK(INDEX(WORLDCUP!$AD$4:$AD$147,MATCH(M21,WORLDCUP!$AH$4:$AH$147,0))),"",INDEX(WORLDCUP!$AD$4:$AD$147,MATCH(M21,WORLDCUP!$AH$4:$AH$147,0)))</f>
        <v/>
      </c>
      <c r="R21" s="446" t="str">
        <f ca="1">+MID(INDEX(WORLDCUP!$AF$4:$AF$147,MATCH(M21,WORLDCUP!$AH$4:$AH$147,0)),1,3)</f>
        <v>Ira</v>
      </c>
      <c r="S21" s="467">
        <v>2</v>
      </c>
      <c r="T21" s="468" t="str">
        <f ca="1">+MID(INDEX(WORLDCUP!$AL$6:$AL$97,MATCH(X21,WORLDCUP!$AI$6:$AI$97,0)),1,3)</f>
        <v>Sen</v>
      </c>
      <c r="U21" s="38">
        <f ca="1">+INDEX(WORLDCUP!$AM$6:$AM$97,MATCH(X21,WORLDCUP!$AI$6:$AI$97,0))</f>
        <v>0</v>
      </c>
      <c r="V21" s="39">
        <f ca="1">+INDEX(WORLDCUP!$AT$6:$AT$97,MATCH(X21,WORLDCUP!$AI$6:$AI$97,0))</f>
        <v>0</v>
      </c>
      <c r="W21" s="43" t="str">
        <f ca="1">+INDEX(WORLDCUP!$AR$6:$AR$97,MATCH(X21,WORLDCUP!$AI$6:$AI$97,0))&amp;"-"&amp;INDEX(WORLDCUP!$AS$6:$AS$97,MATCH(X21,WORLDCUP!$AI$6:$AI$97,0))</f>
        <v>0-0</v>
      </c>
      <c r="X21" s="181" t="s">
        <v>686</v>
      </c>
      <c r="Y21" s="181">
        <v>81</v>
      </c>
      <c r="Z21" s="425" t="s">
        <v>670</v>
      </c>
      <c r="AA21" s="426" t="str">
        <f ca="1">+MID(INDEX(WORLDCUP!$AA$101:$AA$147,MATCH(Y21,WORLDCUP!$Z$101:$Z$147,0)),1,3)</f>
        <v>1D</v>
      </c>
      <c r="AB21" s="427" t="str">
        <f>+IF(ISBLANK(INDEX(WORLDCUP!$AC$101:$AC$147,MATCH(Y21,WORLDCUP!$Z$101:$Z$147,0))),"",INDEX(WORLDCUP!$AC$101:$AC$147,MATCH(Y21,WORLDCUP!$Z$101:$Z$147,0)))</f>
        <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WORLDCUP!AA150</f>
        <v>WF</v>
      </c>
      <c r="BB21" s="528"/>
      <c r="BC21" s="529"/>
      <c r="BD21" s="153"/>
      <c r="BE21" s="153"/>
      <c r="BG21" s="462" t="str">
        <f ca="1">Horarios!Q20</f>
        <v>France</v>
      </c>
      <c r="BH21" s="463">
        <f t="shared" ca="1" si="0"/>
        <v>1</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t="str">
        <f>IF(ISBLANK(INDEX(WORLDCUP!$AC$4:$AC$147,MATCH(A22,WORLDCUP!$AH$4:$AH$147,0))),"",INDEX(WORLDCUP!$AC$4:$AC$147,MATCH(A22,WORLDCUP!$AH$4:$AH$147,0)))</f>
        <v/>
      </c>
      <c r="E22" s="445" t="str">
        <f>IF(ISBLANK(INDEX(WORLDCUP!$AD$4:$AD$147,MATCH(A22,WORLDCUP!$AH$4:$AH$147,0))),"",INDEX(WORLDCUP!$AD$4:$AD$147,MATCH(A22,WORLDCUP!$AH$4:$AH$147,0)))</f>
        <v/>
      </c>
      <c r="F22" s="446" t="str">
        <f ca="1">+MID(INDEX(WORLDCUP!$AF$4:$AF$147,MATCH(A22,WORLDCUP!$AH$4:$AH$147,0)),1,3)</f>
        <v>Hai</v>
      </c>
      <c r="G22" s="467">
        <v>3</v>
      </c>
      <c r="H22" s="468" t="str">
        <f ca="1">+MID(INDEX(WORLDCUP!$AL$6:$AL$97,MATCH(L22,WORLDCUP!$AI$6:$AI$97,0)),1,3)</f>
        <v>Hai</v>
      </c>
      <c r="I22" s="38">
        <f ca="1">+INDEX(WORLDCUP!$AM$6:$AM$97,MATCH(L22,WORLDCUP!$AI$6:$AI$97,0))</f>
        <v>0</v>
      </c>
      <c r="J22" s="39">
        <f ca="1">+INDEX(WORLDCUP!$AT$6:$AT$97,MATCH(L22,WORLDCUP!$AI$6:$AI$97,0))</f>
        <v>0</v>
      </c>
      <c r="K22" s="43" t="str">
        <f ca="1">+INDEX(WORLDCUP!$AR$6:$AR$97,MATCH(L22,WORLDCUP!$AI$6:$AI$97,0))&amp;"-"&amp;INDEX(WORLDCUP!$AS$6:$AS$97,MATCH(L22,WORLDCUP!$AI$6:$AI$97,0))</f>
        <v>0-0</v>
      </c>
      <c r="L22" s="181" t="s">
        <v>92</v>
      </c>
      <c r="M22" s="181">
        <v>41</v>
      </c>
      <c r="N22" s="522"/>
      <c r="O22" s="444" t="str">
        <f ca="1">+MID(INDEX(WORLDCUP!$AA$4:$AA$147,MATCH(M22,WORLDCUP!$AH$4:$AH$147,0)),1,3)</f>
        <v>Nor</v>
      </c>
      <c r="P22" s="445" t="str">
        <f>IF(ISBLANK(INDEX(WORLDCUP!$AC$4:$AC$147,MATCH(M22,WORLDCUP!$AH$4:$AH$147,0))),"",INDEX(WORLDCUP!$AC$4:$AC$147,MATCH(M22,WORLDCUP!$AH$4:$AH$147,0)))</f>
        <v/>
      </c>
      <c r="Q22" s="445" t="str">
        <f>IF(ISBLANK(INDEX(WORLDCUP!$AD$4:$AD$147,MATCH(M22,WORLDCUP!$AH$4:$AH$147,0))),"",INDEX(WORLDCUP!$AD$4:$AD$147,MATCH(M22,WORLDCUP!$AH$4:$AH$147,0)))</f>
        <v/>
      </c>
      <c r="R22" s="446" t="str">
        <f ca="1">+MID(INDEX(WORLDCUP!$AF$4:$AF$147,MATCH(M22,WORLDCUP!$AH$4:$AH$147,0)),1,3)</f>
        <v>Sen</v>
      </c>
      <c r="S22" s="467">
        <v>3</v>
      </c>
      <c r="T22" s="468" t="str">
        <f ca="1">+MID(INDEX(WORLDCUP!$AL$6:$AL$97,MATCH(X22,WORLDCUP!$AI$6:$AI$97,0)),1,3)</f>
        <v>Ira</v>
      </c>
      <c r="U22" s="38">
        <f ca="1">+INDEX(WORLDCUP!$AM$6:$AM$97,MATCH(X22,WORLDCUP!$AI$6:$AI$97,0))</f>
        <v>0</v>
      </c>
      <c r="V22" s="39">
        <f ca="1">+INDEX(WORLDCUP!$AT$6:$AT$97,MATCH(X22,WORLDCUP!$AI$6:$AI$97,0))</f>
        <v>0</v>
      </c>
      <c r="W22" s="43" t="str">
        <f ca="1">+INDEX(WORLDCUP!$AR$6:$AR$97,MATCH(X22,WORLDCUP!$AI$6:$AI$97,0))&amp;"-"&amp;INDEX(WORLDCUP!$AS$6:$AS$97,MATCH(X22,WORLDCUP!$AI$6:$AI$97,0))</f>
        <v>0-0</v>
      </c>
      <c r="X22" s="181" t="s">
        <v>450</v>
      </c>
      <c r="Y22" s="181">
        <v>81</v>
      </c>
      <c r="Z22" s="425" t="s">
        <v>738</v>
      </c>
      <c r="AA22" s="426" t="str">
        <f ca="1">+MID(INDEX(WORLDCUP!$AF$101:$AF$147,MATCH(Y22,WORLDCUP!$Z$101:$Z$147,0)),1,IF(WORLDCUP!$H$113&lt;144,6,3))</f>
        <v>3BEFIJ</v>
      </c>
      <c r="AB22" s="453" t="str">
        <f>+IF(ISBLANK(INDEX(WORLDCUP!$AD$101:$AD$147,MATCH(Y22,WORLDCUP!$Z$101:$Z$147,0))),"",INDEX(WORLDCUP!$AD$101:$AD$147,MATCH(Y22,WORLDCUP!$Z$101:$Z$147,0)))</f>
        <v/>
      </c>
      <c r="AC22" s="454" t="str">
        <f>+IF(ISBLANK(INDEX(WORLDCUP!$AE$101:$AE$147,MATCH(Y22,WORLDCUP!$Z$101:$Z$147,0))),"","( "&amp;INDEX(WORLDCUP!$AE$101:$AE$147,MATCH(Y22,WORLDCUP!$Z$101:$Z$147,0))&amp;" )")</f>
        <v/>
      </c>
      <c r="AD22" s="455">
        <v>94</v>
      </c>
      <c r="AE22" s="456" t="str">
        <f>+MID(INDEX(WORLDCUP!$AA$101:$AA$147,MATCH(AD22,WORLDCUP!$Z$101:$Z$147,0)),1,3)</f>
        <v>W81</v>
      </c>
      <c r="AF22" s="457" t="str">
        <f>+IF(ISBLANK(INDEX(WORLDCUP!$AC$101:$AC$147,MATCH(AD22,WORLDCUP!$Z$101:$Z$147,0))),"",INDEX(WORLDCUP!$AC$101:$AC$147,MATCH(AD22,WORLDCUP!$Z$101:$Z$147,0)))</f>
        <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1</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t="str">
        <f>IF(ISBLANK(INDEX(WORLDCUP!$AC$4:$AC$147,MATCH(A23,WORLDCUP!$AH$4:$AH$147,0))),"",INDEX(WORLDCUP!$AC$4:$AC$147,MATCH(A23,WORLDCUP!$AH$4:$AH$147,0)))</f>
        <v/>
      </c>
      <c r="E23" s="445" t="str">
        <f>IF(ISBLANK(INDEX(WORLDCUP!$AD$4:$AD$147,MATCH(A23,WORLDCUP!$AH$4:$AH$147,0))),"",INDEX(WORLDCUP!$AD$4:$AD$147,MATCH(A23,WORLDCUP!$AH$4:$AH$147,0)))</f>
        <v/>
      </c>
      <c r="F23" s="446" t="str">
        <f ca="1">+MID(INDEX(WORLDCUP!$AF$4:$AF$147,MATCH(A23,WORLDCUP!$AH$4:$AH$147,0)),1,3)</f>
        <v>Bra</v>
      </c>
      <c r="G23" s="467">
        <v>4</v>
      </c>
      <c r="H23" s="476" t="str">
        <f ca="1">+MID(INDEX(WORLDCUP!$AL$6:$AL$97,MATCH(L23,WORLDCUP!$AI$6:$AI$97,0)),1,3)</f>
        <v>Sco</v>
      </c>
      <c r="I23" s="477">
        <f ca="1">+INDEX(WORLDCUP!$AM$6:$AM$97,MATCH(L23,WORLDCUP!$AI$6:$AI$97,0))</f>
        <v>0</v>
      </c>
      <c r="J23" s="478">
        <f ca="1">+INDEX(WORLDCUP!$AT$6:$AT$97,MATCH(L23,WORLDCUP!$AI$6:$AI$97,0))</f>
        <v>0</v>
      </c>
      <c r="K23" s="479" t="str">
        <f ca="1">+INDEX(WORLDCUP!$AR$6:$AR$97,MATCH(L23,WORLDCUP!$AI$6:$AI$97,0))&amp;"-"&amp;INDEX(WORLDCUP!$AS$6:$AS$97,MATCH(L23,WORLDCUP!$AI$6:$AI$97,0))</f>
        <v>0-0</v>
      </c>
      <c r="L23" s="181" t="s">
        <v>669</v>
      </c>
      <c r="M23" s="181">
        <v>61</v>
      </c>
      <c r="N23" s="522"/>
      <c r="O23" s="444" t="str">
        <f ca="1">+MID(INDEX(WORLDCUP!$AA$4:$AA$147,MATCH(M23,WORLDCUP!$AH$4:$AH$147,0)),1,3)</f>
        <v>Nor</v>
      </c>
      <c r="P23" s="445" t="str">
        <f>IF(ISBLANK(INDEX(WORLDCUP!$AC$4:$AC$147,MATCH(M23,WORLDCUP!$AH$4:$AH$147,0))),"",INDEX(WORLDCUP!$AC$4:$AC$147,MATCH(M23,WORLDCUP!$AH$4:$AH$147,0)))</f>
        <v/>
      </c>
      <c r="Q23" s="445" t="str">
        <f>IF(ISBLANK(INDEX(WORLDCUP!$AD$4:$AD$147,MATCH(M23,WORLDCUP!$AH$4:$AH$147,0))),"",INDEX(WORLDCUP!$AD$4:$AD$147,MATCH(M23,WORLDCUP!$AH$4:$AH$147,0)))</f>
        <v/>
      </c>
      <c r="R23" s="446" t="str">
        <f ca="1">+MID(INDEX(WORLDCUP!$AF$4:$AF$147,MATCH(M23,WORLDCUP!$AH$4:$AH$147,0)),1,3)</f>
        <v>Fra</v>
      </c>
      <c r="S23" s="467">
        <v>4</v>
      </c>
      <c r="T23" s="476" t="str">
        <f ca="1">+MID(INDEX(WORLDCUP!$AL$6:$AL$97,MATCH(X23,WORLDCUP!$AI$6:$AI$97,0)),1,3)</f>
        <v>Nor</v>
      </c>
      <c r="U23" s="477">
        <f ca="1">+INDEX(WORLDCUP!$AM$6:$AM$97,MATCH(X23,WORLDCUP!$AI$6:$AI$97,0))</f>
        <v>0</v>
      </c>
      <c r="V23" s="478">
        <f ca="1">+INDEX(WORLDCUP!$AT$6:$AT$97,MATCH(X23,WORLDCUP!$AI$6:$AI$97,0))</f>
        <v>0</v>
      </c>
      <c r="W23" s="479" t="str">
        <f ca="1">+INDEX(WORLDCUP!$AR$6:$AR$97,MATCH(X23,WORLDCUP!$AI$6:$AI$97,0))&amp;"-"&amp;INDEX(WORLDCUP!$AS$6:$AS$97,MATCH(X23,WORLDCUP!$AI$6:$AI$97,0))</f>
        <v>0-0</v>
      </c>
      <c r="X23" s="181" t="s">
        <v>687</v>
      </c>
      <c r="Y23" s="181"/>
      <c r="Z23" s="425"/>
      <c r="AA23" s="469"/>
      <c r="AB23" s="469"/>
      <c r="AC23" s="470"/>
      <c r="AD23" s="181">
        <v>94</v>
      </c>
      <c r="AE23" s="456" t="str">
        <f>+MID(INDEX(WORLDCUP!$AF$101:$AF$147,MATCH(AD23,WORLDCUP!$Z$101:$Z$147,0)),1,3)</f>
        <v>W82</v>
      </c>
      <c r="AF23" s="457" t="str">
        <f>+IF(ISBLANK(INDEX(WORLDCUP!$AD$101:$AD$147,MATCH(AD23,WORLDCUP!$Z$101:$Z$147,0))),"",INDEX(WORLDCUP!$AD$101:$AD$147,MATCH(AD23,WORLDCUP!$Z$101:$Z$147,0)))</f>
        <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+WORLDCUP!AA151</f>
        <v>LF</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t="str">
        <f>IF(ISBLANK(INDEX(WORLDCUP!$AC$4:$AC$147,MATCH(A24,WORLDCUP!$AH$4:$AH$147,0))),"",INDEX(WORLDCUP!$AC$4:$AC$147,MATCH(A24,WORLDCUP!$AH$4:$AH$147,0)))</f>
        <v/>
      </c>
      <c r="E24" s="488" t="str">
        <f>IF(ISBLANK(INDEX(WORLDCUP!$AD$4:$AD$147,MATCH(A24,WORLDCUP!$AH$4:$AH$147,0))),"",INDEX(WORLDCUP!$AD$4:$AD$147,MATCH(A24,WORLDCUP!$AH$4:$AH$147,0)))</f>
        <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t="str">
        <f>IF(ISBLANK(INDEX(WORLDCUP!$AC$4:$AC$147,MATCH(M24,WORLDCUP!$AH$4:$AH$147,0))),"",INDEX(WORLDCUP!$AC$4:$AC$147,MATCH(M24,WORLDCUP!$AH$4:$AH$147,0)))</f>
        <v/>
      </c>
      <c r="Q24" s="488" t="str">
        <f>IF(ISBLANK(INDEX(WORLDCUP!$AD$4:$AD$147,MATCH(M24,WORLDCUP!$AH$4:$AH$147,0))),"",INDEX(WORLDCUP!$AD$4:$AD$147,MATCH(M24,WORLDCUP!$AH$4:$AH$147,0)))</f>
        <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1G</v>
      </c>
      <c r="AB24" s="472" t="str">
        <f>+IF(ISBLANK(INDEX(WORLDCUP!$AC$101:$AC$147,MATCH(Y24,WORLDCUP!$Z$101:$Z$147,0))),"",INDEX(WORLDCUP!$AC$101:$AC$147,MATCH(Y24,WORLDCUP!$Z$101:$Z$147,0)))</f>
        <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3AEHIJ</v>
      </c>
      <c r="AB25" s="481" t="str">
        <f>+IF(ISBLANK(INDEX(WORLDCUP!$AD$101:$AD$147,MATCH(Y25,WORLDCUP!$Z$101:$Z$147,0))),"",INDEX(WORLDCUP!$AD$101:$AD$147,MATCH(Y25,WORLDCUP!$Z$101:$Z$147,0)))</f>
        <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+MID(INDEX(WORLDCUP!$AA$101:$AA$147,MATCH(AT25,WORLDCUP!$Z$101:$Z$147,0)),1,4)</f>
        <v>W101</v>
      </c>
      <c r="AV25" s="538" t="str">
        <f>+IF(ISBLANK(INDEX(WORLDCUP!$AC$101:$AC$147,MATCH(AT25,WORLDCUP!$Z$101:$Z$147,0))),"",INDEX(WORLDCUP!$AC$101:$AC$147,MATCH(AT25,WORLDCUP!$Z$101:$Z$147,0)))</f>
        <v/>
      </c>
      <c r="AW25" s="539" t="str">
        <f>+IF(ISBLANK(INDEX(WORLDCUP!$AB$101:$AB$147,MATCH(AT25,WORLDCUP!$Z$101:$Z$147,0))),"","( "&amp;INDEX(WORLDCUP!$AB$101:$AB$147,MATCH(AT25,WORLDCUP!$Z$101:$Z$147,0))&amp;" )")</f>
        <v/>
      </c>
      <c r="AX25" s="540"/>
      <c r="AY25" s="527"/>
      <c r="AZ25" s="528" t="str">
        <f>+WORLDCUP!AA152</f>
        <v>W34</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+MID(INDEX(WORLDCUP!$AF$101:$AF$147,MATCH(AT26,WORLDCUP!$Z$101:$Z$147,0)),1,4)</f>
        <v>W102</v>
      </c>
      <c r="AV26" s="538" t="str">
        <f>+IF(ISBLANK(INDEX(WORLDCUP!$AD$101:$AD$147,MATCH(AT26,WORLDCUP!$Z$101:$Z$147,0))),"",INDEX(WORLDCUP!$AD$101:$AD$147,MATCH(AT26,WORLDCUP!$Z$101:$Z$147,0)))</f>
        <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t="str">
        <f>IF(ISBLANK(INDEX(WORLDCUP!$AC$4:$AC$147,MATCH(A27,WORLDCUP!$AH$4:$AH$147,0))),"",INDEX(WORLDCUP!$AC$4:$AC$147,MATCH(A27,WORLDCUP!$AH$4:$AH$147,0)))</f>
        <v/>
      </c>
      <c r="E27" s="418" t="str">
        <f>IF(ISBLANK(INDEX(WORLDCUP!$AD$4:$AD$147,MATCH(A27,WORLDCUP!$AH$4:$AH$147,0))),"",INDEX(WORLDCUP!$AD$4:$AD$147,MATCH(A27,WORLDCUP!$AH$4:$AH$147,0)))</f>
        <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t="str">
        <f>IF(ISBLANK(INDEX(WORLDCUP!$AC$4:$AC$147,MATCH(M27,WORLDCUP!$AH$4:$AH$147,0))),"",INDEX(WORLDCUP!$AC$4:$AC$147,MATCH(M27,WORLDCUP!$AH$4:$AH$147,0)))</f>
        <v/>
      </c>
      <c r="Q27" s="418" t="str">
        <f>IF(ISBLANK(INDEX(WORLDCUP!$AD$4:$AD$147,MATCH(M27,WORLDCUP!$AH$4:$AH$147,0))),"",INDEX(WORLDCUP!$AD$4:$AD$147,MATCH(M27,WORLDCUP!$AH$4:$AH$147,0)))</f>
        <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1C</v>
      </c>
      <c r="AB27" s="427" t="str">
        <f>+IF(ISBLANK(INDEX(WORLDCUP!$AC$101:$AC$147,MATCH(Y27,WORLDCUP!$Z$101:$Z$147,0))),"",INDEX(WORLDCUP!$AC$101:$AC$147,MATCH(Y27,WORLDCUP!$Z$101:$Z$147,0)))</f>
        <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t="str">
        <f>IF(ISBLANK(INDEX(WORLDCUP!$AC$4:$AC$147,MATCH(A28,WORLDCUP!$AH$4:$AH$147,0))),"",INDEX(WORLDCUP!$AC$4:$AC$147,MATCH(A28,WORLDCUP!$AH$4:$AH$147,0)))</f>
        <v/>
      </c>
      <c r="E28" s="445" t="str">
        <f>IF(ISBLANK(INDEX(WORLDCUP!$AD$4:$AD$147,MATCH(A28,WORLDCUP!$AH$4:$AH$147,0))),"",INDEX(WORLDCUP!$AD$4:$AD$147,MATCH(A28,WORLDCUP!$AH$4:$AH$147,0)))</f>
        <v/>
      </c>
      <c r="F28" s="446" t="str">
        <f ca="1">+MID(INDEX(WORLDCUP!$AF$4:$AF$147,MATCH(A28,WORLDCUP!$AH$4:$AH$147,0)),1,3)</f>
        <v>Tur</v>
      </c>
      <c r="G28" s="447">
        <v>1</v>
      </c>
      <c r="H28" s="448" t="str">
        <f ca="1">+MID(INDEX(WORLDCUP!$AL$6:$AL$97,MATCH(L28,WORLDCUP!$AI$6:$AI$97,0)),1,3)</f>
        <v>Uni</v>
      </c>
      <c r="I28" s="449">
        <f ca="1">+INDEX(WORLDCUP!$AM$6:$AM$97,MATCH(L28,WORLDCUP!$AI$6:$AI$97,0))</f>
        <v>0</v>
      </c>
      <c r="J28" s="450">
        <f ca="1">+INDEX(WORLDCUP!$AT$6:$AT$97,MATCH(L28,WORLDCUP!$AI$6:$AI$97,0))</f>
        <v>0</v>
      </c>
      <c r="K28" s="451" t="str">
        <f ca="1">+INDEX(WORLDCUP!$AR$6:$AR$97,MATCH(L28,WORLDCUP!$AI$6:$AI$97,0))&amp;"-"&amp;INDEX(WORLDCUP!$AS$6:$AS$97,MATCH(L28,WORLDCUP!$AI$6:$AI$97,0))</f>
        <v>0-0</v>
      </c>
      <c r="L28" s="181" t="s">
        <v>670</v>
      </c>
      <c r="M28" s="181">
        <v>20</v>
      </c>
      <c r="N28" s="545"/>
      <c r="O28" s="444" t="str">
        <f ca="1">+MID(INDEX(WORLDCUP!$AA$4:$AA$147,MATCH(M28,WORLDCUP!$AH$4:$AH$147,0)),1,3)</f>
        <v>Aus</v>
      </c>
      <c r="P28" s="445" t="str">
        <f>IF(ISBLANK(INDEX(WORLDCUP!$AC$4:$AC$147,MATCH(M28,WORLDCUP!$AH$4:$AH$147,0))),"",INDEX(WORLDCUP!$AC$4:$AC$147,MATCH(M28,WORLDCUP!$AH$4:$AH$147,0)))</f>
        <v/>
      </c>
      <c r="Q28" s="445" t="str">
        <f>IF(ISBLANK(INDEX(WORLDCUP!$AD$4:$AD$147,MATCH(M28,WORLDCUP!$AH$4:$AH$147,0))),"",INDEX(WORLDCUP!$AD$4:$AD$147,MATCH(M28,WORLDCUP!$AH$4:$AH$147,0)))</f>
        <v/>
      </c>
      <c r="R28" s="446" t="str">
        <f ca="1">+MID(INDEX(WORLDCUP!$AF$4:$AF$147,MATCH(M28,WORLDCUP!$AH$4:$AH$147,0)),1,3)</f>
        <v>Jor</v>
      </c>
      <c r="S28" s="447">
        <v>1</v>
      </c>
      <c r="T28" s="448" t="str">
        <f ca="1">+MID(INDEX(WORLDCUP!$AL$6:$AL$97,MATCH(X28,WORLDCUP!$AI$6:$AI$97,0)),1,3)</f>
        <v>Arg</v>
      </c>
      <c r="U28" s="449">
        <f ca="1">+INDEX(WORLDCUP!$AM$6:$AM$97,MATCH(X28,WORLDCUP!$AI$6:$AI$97,0))</f>
        <v>0</v>
      </c>
      <c r="V28" s="450">
        <f ca="1">+INDEX(WORLDCUP!$AT$6:$AT$97,MATCH(X28,WORLDCUP!$AI$6:$AI$97,0))</f>
        <v>0</v>
      </c>
      <c r="W28" s="451" t="str">
        <f ca="1">+INDEX(WORLDCUP!$AR$6:$AR$97,MATCH(X28,WORLDCUP!$AI$6:$AI$97,0))&amp;"-"&amp;INDEX(WORLDCUP!$AS$6:$AS$97,MATCH(X28,WORLDCUP!$AI$6:$AI$97,0))</f>
        <v>0-0</v>
      </c>
      <c r="X28" s="181" t="s">
        <v>688</v>
      </c>
      <c r="Y28" s="181">
        <v>76</v>
      </c>
      <c r="Z28" s="425" t="s">
        <v>677</v>
      </c>
      <c r="AA28" s="426" t="str">
        <f ca="1">+MID(INDEX(WORLDCUP!$AF$101:$AF$147,MATCH(Y28,WORLDCUP!$Z$101:$Z$147,0)),1,3)</f>
        <v>2F</v>
      </c>
      <c r="AB28" s="453" t="str">
        <f>+IF(ISBLANK(INDEX(WORLDCUP!$AD$101:$AD$147,MATCH(Y28,WORLDCUP!$Z$101:$Z$147,0))),"",INDEX(WORLDCUP!$AD$101:$AD$147,MATCH(Y28,WORLDCUP!$Z$101:$Z$147,0)))</f>
        <v/>
      </c>
      <c r="AC28" s="454" t="str">
        <f>+IF(ISBLANK(INDEX(WORLDCUP!$AE$101:$AE$147,MATCH(Y28,WORLDCUP!$Z$101:$Z$147,0))),"","( "&amp;INDEX(WORLDCUP!$AE$101:$AE$147,MATCH(Y28,WORLDCUP!$Z$101:$Z$147,0))&amp;" )")</f>
        <v/>
      </c>
      <c r="AD28" s="455">
        <v>91</v>
      </c>
      <c r="AE28" s="456" t="str">
        <f>+MID(INDEX(WORLDCUP!$AA$101:$AA$147,MATCH(AD28,WORLDCUP!$Z$101:$Z$147,0)),1,3)</f>
        <v>W76</v>
      </c>
      <c r="AF28" s="457" t="str">
        <f>+IF(ISBLANK(INDEX(WORLDCUP!$AC$101:$AC$147,MATCH(AD28,WORLDCUP!$Z$101:$Z$147,0))),"",INDEX(WORLDCUP!$AC$101:$AC$147,MATCH(AD28,WORLDCUP!$Z$101:$Z$147,0)))</f>
        <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t="str">
        <f>IF(ISBLANK(INDEX(WORLDCUP!$AC$4:$AC$147,MATCH(A29,WORLDCUP!$AH$4:$AH$147,0))),"",INDEX(WORLDCUP!$AC$4:$AC$147,MATCH(A29,WORLDCUP!$AH$4:$AH$147,0)))</f>
        <v/>
      </c>
      <c r="E29" s="445" t="str">
        <f>IF(ISBLANK(INDEX(WORLDCUP!$AD$4:$AD$147,MATCH(A29,WORLDCUP!$AH$4:$AH$147,0))),"",INDEX(WORLDCUP!$AD$4:$AD$147,MATCH(A29,WORLDCUP!$AH$4:$AH$147,0)))</f>
        <v/>
      </c>
      <c r="F29" s="446" t="str">
        <f ca="1">+MID(INDEX(WORLDCUP!$AF$4:$AF$147,MATCH(A29,WORLDCUP!$AH$4:$AH$147,0)),1,3)</f>
        <v>Aus</v>
      </c>
      <c r="G29" s="467">
        <v>2</v>
      </c>
      <c r="H29" s="468" t="str">
        <f ca="1">+MID(INDEX(WORLDCUP!$AL$6:$AL$97,MATCH(L29,WORLDCUP!$AI$6:$AI$97,0)),1,3)</f>
        <v>Par</v>
      </c>
      <c r="I29" s="38">
        <f ca="1">+INDEX(WORLDCUP!$AM$6:$AM$97,MATCH(L29,WORLDCUP!$AI$6:$AI$97,0))</f>
        <v>0</v>
      </c>
      <c r="J29" s="39">
        <f ca="1">+INDEX(WORLDCUP!$AT$6:$AT$97,MATCH(L29,WORLDCUP!$AI$6:$AI$97,0))</f>
        <v>0</v>
      </c>
      <c r="K29" s="43" t="str">
        <f ca="1">+INDEX(WORLDCUP!$AR$6:$AR$97,MATCH(L29,WORLDCUP!$AI$6:$AI$97,0))&amp;"-"&amp;INDEX(WORLDCUP!$AS$6:$AS$97,MATCH(L29,WORLDCUP!$AI$6:$AI$97,0))</f>
        <v>0-0</v>
      </c>
      <c r="L29" s="181" t="s">
        <v>671</v>
      </c>
      <c r="M29" s="181">
        <v>43</v>
      </c>
      <c r="N29" s="545"/>
      <c r="O29" s="444" t="str">
        <f ca="1">+MID(INDEX(WORLDCUP!$AA$4:$AA$147,MATCH(M29,WORLDCUP!$AH$4:$AH$147,0)),1,3)</f>
        <v>Arg</v>
      </c>
      <c r="P29" s="445" t="str">
        <f>IF(ISBLANK(INDEX(WORLDCUP!$AC$4:$AC$147,MATCH(M29,WORLDCUP!$AH$4:$AH$147,0))),"",INDEX(WORLDCUP!$AC$4:$AC$147,MATCH(M29,WORLDCUP!$AH$4:$AH$147,0)))</f>
        <v/>
      </c>
      <c r="Q29" s="445" t="str">
        <f>IF(ISBLANK(INDEX(WORLDCUP!$AD$4:$AD$147,MATCH(M29,WORLDCUP!$AH$4:$AH$147,0))),"",INDEX(WORLDCUP!$AD$4:$AD$147,MATCH(M29,WORLDCUP!$AH$4:$AH$147,0)))</f>
        <v/>
      </c>
      <c r="R29" s="446" t="str">
        <f ca="1">+MID(INDEX(WORLDCUP!$AF$4:$AF$147,MATCH(M29,WORLDCUP!$AH$4:$AH$147,0)),1,3)</f>
        <v>Aus</v>
      </c>
      <c r="S29" s="467">
        <v>2</v>
      </c>
      <c r="T29" s="468" t="str">
        <f ca="1">+MID(INDEX(WORLDCUP!$AL$6:$AL$97,MATCH(X29,WORLDCUP!$AI$6:$AI$97,0)),1,3)</f>
        <v>Alg</v>
      </c>
      <c r="U29" s="38">
        <f ca="1">+INDEX(WORLDCUP!$AM$6:$AM$97,MATCH(X29,WORLDCUP!$AI$6:$AI$97,0))</f>
        <v>0</v>
      </c>
      <c r="V29" s="39">
        <f ca="1">+INDEX(WORLDCUP!$AT$6:$AT$97,MATCH(X29,WORLDCUP!$AI$6:$AI$97,0))</f>
        <v>0</v>
      </c>
      <c r="W29" s="43" t="str">
        <f ca="1">+INDEX(WORLDCUP!$AR$6:$AR$97,MATCH(X29,WORLDCUP!$AI$6:$AI$97,0))&amp;"-"&amp;INDEX(WORLDCUP!$AS$6:$AS$97,MATCH(X29,WORLDCUP!$AI$6:$AI$97,0))</f>
        <v>0-0</v>
      </c>
      <c r="X29" s="181" t="s">
        <v>689</v>
      </c>
      <c r="Y29" s="181"/>
      <c r="Z29" s="425"/>
      <c r="AA29" s="469"/>
      <c r="AB29" s="469"/>
      <c r="AC29" s="470"/>
      <c r="AD29" s="181">
        <v>91</v>
      </c>
      <c r="AE29" s="456" t="str">
        <f>+MID(INDEX(WORLDCUP!$AF$101:$AF$147,MATCH(AD29,WORLDCUP!$Z$101:$Z$147,0)),1,3)</f>
        <v>W78</v>
      </c>
      <c r="AF29" s="457" t="str">
        <f>+IF(ISBLANK(INDEX(WORLDCUP!$AD$101:$AD$147,MATCH(AD29,WORLDCUP!$Z$101:$Z$147,0))),"",INDEX(WORLDCUP!$AD$101:$AD$147,MATCH(AD29,WORLDCUP!$Z$101:$Z$147,0)))</f>
        <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t="str">
        <f>IF(ISBLANK(INDEX(WORLDCUP!$AC$4:$AC$147,MATCH(A30,WORLDCUP!$AH$4:$AH$147,0))),"",INDEX(WORLDCUP!$AC$4:$AC$147,MATCH(A30,WORLDCUP!$AH$4:$AH$147,0)))</f>
        <v/>
      </c>
      <c r="E30" s="445" t="str">
        <f>IF(ISBLANK(INDEX(WORLDCUP!$AD$4:$AD$147,MATCH(A30,WORLDCUP!$AH$4:$AH$147,0))),"",INDEX(WORLDCUP!$AD$4:$AD$147,MATCH(A30,WORLDCUP!$AH$4:$AH$147,0)))</f>
        <v/>
      </c>
      <c r="F30" s="446" t="str">
        <f ca="1">+MID(INDEX(WORLDCUP!$AF$4:$AF$147,MATCH(A30,WORLDCUP!$AH$4:$AH$147,0)),1,3)</f>
        <v>Par</v>
      </c>
      <c r="G30" s="467">
        <v>3</v>
      </c>
      <c r="H30" s="468" t="str">
        <f ca="1">+MID(INDEX(WORLDCUP!$AL$6:$AL$97,MATCH(L30,WORLDCUP!$AI$6:$AI$97,0)),1,3)</f>
        <v>Aus</v>
      </c>
      <c r="I30" s="38">
        <f ca="1">+INDEX(WORLDCUP!$AM$6:$AM$97,MATCH(L30,WORLDCUP!$AI$6:$AI$97,0))</f>
        <v>0</v>
      </c>
      <c r="J30" s="39">
        <f ca="1">+INDEX(WORLDCUP!$AT$6:$AT$97,MATCH(L30,WORLDCUP!$AI$6:$AI$97,0))</f>
        <v>0</v>
      </c>
      <c r="K30" s="43" t="str">
        <f ca="1">+INDEX(WORLDCUP!$AR$6:$AR$97,MATCH(L30,WORLDCUP!$AI$6:$AI$97,0))&amp;"-"&amp;INDEX(WORLDCUP!$AS$6:$AS$97,MATCH(L30,WORLDCUP!$AI$6:$AI$97,0))</f>
        <v>0-0</v>
      </c>
      <c r="L30" s="181" t="s">
        <v>93</v>
      </c>
      <c r="M30" s="181">
        <v>44</v>
      </c>
      <c r="N30" s="545"/>
      <c r="O30" s="444" t="str">
        <f ca="1">+MID(INDEX(WORLDCUP!$AA$4:$AA$147,MATCH(M30,WORLDCUP!$AH$4:$AH$147,0)),1,3)</f>
        <v>Jor</v>
      </c>
      <c r="P30" s="445" t="str">
        <f>IF(ISBLANK(INDEX(WORLDCUP!$AC$4:$AC$147,MATCH(M30,WORLDCUP!$AH$4:$AH$147,0))),"",INDEX(WORLDCUP!$AC$4:$AC$147,MATCH(M30,WORLDCUP!$AH$4:$AH$147,0)))</f>
        <v/>
      </c>
      <c r="Q30" s="445" t="str">
        <f>IF(ISBLANK(INDEX(WORLDCUP!$AD$4:$AD$147,MATCH(M30,WORLDCUP!$AH$4:$AH$147,0))),"",INDEX(WORLDCUP!$AD$4:$AD$147,MATCH(M30,WORLDCUP!$AH$4:$AH$147,0)))</f>
        <v/>
      </c>
      <c r="R30" s="446" t="str">
        <f ca="1">+MID(INDEX(WORLDCUP!$AF$4:$AF$147,MATCH(M30,WORLDCUP!$AH$4:$AH$147,0)),1,3)</f>
        <v>Alg</v>
      </c>
      <c r="S30" s="467">
        <v>3</v>
      </c>
      <c r="T30" s="468" t="str">
        <f ca="1">+MID(INDEX(WORLDCUP!$AL$6:$AL$97,MATCH(X30,WORLDCUP!$AI$6:$AI$97,0)),1,3)</f>
        <v>Aus</v>
      </c>
      <c r="U30" s="38">
        <f ca="1">+INDEX(WORLDCUP!$AM$6:$AM$97,MATCH(X30,WORLDCUP!$AI$6:$AI$97,0))</f>
        <v>0</v>
      </c>
      <c r="V30" s="39">
        <f ca="1">+INDEX(WORLDCUP!$AT$6:$AT$97,MATCH(X30,WORLDCUP!$AI$6:$AI$97,0))</f>
        <v>0</v>
      </c>
      <c r="W30" s="43" t="str">
        <f ca="1">+INDEX(WORLDCUP!$AR$6:$AR$97,MATCH(X30,WORLDCUP!$AI$6:$AI$97,0))&amp;"-"&amp;INDEX(WORLDCUP!$AS$6:$AS$97,MATCH(X30,WORLDCUP!$AI$6:$AI$97,0))</f>
        <v>0-0</v>
      </c>
      <c r="X30" s="181" t="s">
        <v>451</v>
      </c>
      <c r="Y30" s="181">
        <v>78</v>
      </c>
      <c r="Z30" s="425" t="s">
        <v>674</v>
      </c>
      <c r="AA30" s="426" t="str">
        <f ca="1">+MID(INDEX(WORLDCUP!$AA$101:$AA$147,MATCH(Y30,WORLDCUP!$Z$101:$Z$147,0)),1,3)</f>
        <v>2E</v>
      </c>
      <c r="AB30" s="472" t="str">
        <f>+IF(ISBLANK(INDEX(WORLDCUP!$AC$101:$AC$147,MATCH(Y30,WORLDCUP!$Z$101:$Z$147,0))),"",INDEX(WORLDCUP!$AC$101:$AC$147,MATCH(Y30,WORLDCUP!$Z$101:$Z$147,0)))</f>
        <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1</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t="str">
        <f>IF(ISBLANK(INDEX(WORLDCUP!$AC$4:$AC$147,MATCH(A31,WORLDCUP!$AH$4:$AH$147,0))),"",INDEX(WORLDCUP!$AC$4:$AC$147,MATCH(A31,WORLDCUP!$AH$4:$AH$147,0)))</f>
        <v/>
      </c>
      <c r="E31" s="445" t="str">
        <f>IF(ISBLANK(INDEX(WORLDCUP!$AD$4:$AD$147,MATCH(A31,WORLDCUP!$AH$4:$AH$147,0))),"",INDEX(WORLDCUP!$AD$4:$AD$147,MATCH(A31,WORLDCUP!$AH$4:$AH$147,0)))</f>
        <v/>
      </c>
      <c r="F31" s="446" t="str">
        <f ca="1">+MID(INDEX(WORLDCUP!$AF$4:$AF$147,MATCH(A31,WORLDCUP!$AH$4:$AH$147,0)),1,3)</f>
        <v>Uni</v>
      </c>
      <c r="G31" s="467">
        <v>4</v>
      </c>
      <c r="H31" s="476" t="str">
        <f ca="1">+MID(INDEX(WORLDCUP!$AL$6:$AL$97,MATCH(L31,WORLDCUP!$AI$6:$AI$97,0)),1,3)</f>
        <v>Tur</v>
      </c>
      <c r="I31" s="477">
        <f ca="1">+INDEX(WORLDCUP!$AM$6:$AM$97,MATCH(L31,WORLDCUP!$AI$6:$AI$97,0))</f>
        <v>0</v>
      </c>
      <c r="J31" s="478">
        <f ca="1">+INDEX(WORLDCUP!$AT$6:$AT$97,MATCH(L31,WORLDCUP!$AI$6:$AI$97,0))</f>
        <v>0</v>
      </c>
      <c r="K31" s="479" t="str">
        <f ca="1">+INDEX(WORLDCUP!$AR$6:$AR$97,MATCH(L31,WORLDCUP!$AI$6:$AI$97,0))&amp;"-"&amp;INDEX(WORLDCUP!$AS$6:$AS$97,MATCH(L31,WORLDCUP!$AI$6:$AI$97,0))</f>
        <v>0-0</v>
      </c>
      <c r="L31" s="181" t="s">
        <v>672</v>
      </c>
      <c r="M31" s="181">
        <v>69</v>
      </c>
      <c r="N31" s="545"/>
      <c r="O31" s="444" t="str">
        <f ca="1">+MID(INDEX(WORLDCUP!$AA$4:$AA$147,MATCH(M31,WORLDCUP!$AH$4:$AH$147,0)),1,3)</f>
        <v>Alg</v>
      </c>
      <c r="P31" s="445" t="str">
        <f>IF(ISBLANK(INDEX(WORLDCUP!$AC$4:$AC$147,MATCH(M31,WORLDCUP!$AH$4:$AH$147,0))),"",INDEX(WORLDCUP!$AC$4:$AC$147,MATCH(M31,WORLDCUP!$AH$4:$AH$147,0)))</f>
        <v/>
      </c>
      <c r="Q31" s="445" t="str">
        <f>IF(ISBLANK(INDEX(WORLDCUP!$AD$4:$AD$147,MATCH(M31,WORLDCUP!$AH$4:$AH$147,0))),"",INDEX(WORLDCUP!$AD$4:$AD$147,MATCH(M31,WORLDCUP!$AH$4:$AH$147,0)))</f>
        <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0</v>
      </c>
      <c r="W31" s="479" t="str">
        <f ca="1">+INDEX(WORLDCUP!$AR$6:$AR$97,MATCH(X31,WORLDCUP!$AI$6:$AI$97,0))&amp;"-"&amp;INDEX(WORLDCUP!$AS$6:$AS$97,MATCH(X31,WORLDCUP!$AI$6:$AI$97,0))</f>
        <v>0-0</v>
      </c>
      <c r="X31" s="181" t="s">
        <v>690</v>
      </c>
      <c r="Y31" s="181">
        <v>78</v>
      </c>
      <c r="Z31" s="425" t="s">
        <v>686</v>
      </c>
      <c r="AA31" s="480" t="str">
        <f ca="1">+MID(INDEX(WORLDCUP!$AF$101:$AF$147,MATCH(Y31,WORLDCUP!$Z$101:$Z$147,0)),1,3)</f>
        <v>2I</v>
      </c>
      <c r="AB31" s="481" t="str">
        <f>+IF(ISBLANK(INDEX(WORLDCUP!$AD$101:$AD$147,MATCH(Y31,WORLDCUP!$Z$101:$Z$147,0))),"",INDEX(WORLDCUP!$AD$101:$AD$147,MATCH(Y31,WORLDCUP!$Z$101:$Z$147,0)))</f>
        <v/>
      </c>
      <c r="AC31" s="507" t="str">
        <f>+IF(ISBLANK(INDEX(WORLDCUP!$AE$101:$AE$147,MATCH(Y31,WORLDCUP!$Z$101:$Z$147,0))),"","( "&amp;INDEX(WORLDCUP!$AE$101:$AE$147,MATCH(Y31,WORLDCUP!$Z$101:$Z$147,0))&amp;" )")</f>
        <v/>
      </c>
      <c r="AD31" s="181"/>
      <c r="AE31" s="474"/>
      <c r="AF31" s="474"/>
      <c r="AG31" s="475"/>
      <c r="AH31" s="500">
        <v>99</v>
      </c>
      <c r="AI31" s="483" t="str">
        <f>+MID(INDEX(WORLDCUP!$AA$101:$AA$147,MATCH(AH31,WORLDCUP!$Z$101:$Z$147,0)),1,3)</f>
        <v>W91</v>
      </c>
      <c r="AJ31" s="484" t="str">
        <f>+IF(ISBLANK(INDEX(WORLDCUP!$AC$101:$AC$147,MATCH(AH31,WORLDCUP!$Z$101:$Z$147,0))),"",INDEX(WORLDCUP!$AC$101:$AC$147,MATCH(AH31,WORLDCUP!$Z$101:$Z$147,0)))</f>
        <v/>
      </c>
      <c r="AK31" s="485" t="str">
        <f>+IF(ISBLANK(INDEX(WORLDCUP!$AB$101:$AB$147,MATCH(AH31,WORLDCUP!$Z$101:$Z$147,0))),"","( "&amp;INDEX(WORLDCUP!$AB$101:$AB$147,MATCH(AH31,WORLDCUP!$Z$101:$Z$147,0))&amp;" )")</f>
        <v/>
      </c>
      <c r="AL31" s="181"/>
      <c r="AM31" s="431"/>
      <c r="AN31" s="431"/>
      <c r="AO31" s="512"/>
      <c r="AP31" s="546">
        <v>103</v>
      </c>
      <c r="AQ31" s="547" t="str">
        <f>+MID(INDEX(WORLDCUP!$AA$101:$AA$147,MATCH(AP31,WORLDCUP!$Z$101:$Z$147,0)),1,4)</f>
        <v>L101</v>
      </c>
      <c r="AR31" s="548" t="str">
        <f>+IF(ISBLANK(INDEX(WORLDCUP!$AC$101:$AC$147,MATCH(AP31,WORLDCUP!$Z$101:$Z$147,0))),"",INDEX(WORLDCUP!$AC$101:$AC$147,MATCH(AP31,WORLDCUP!$Z$101:$Z$147,0)))</f>
        <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1</v>
      </c>
      <c r="BI31" s="463">
        <f ca="1">COUNTIF(Pool!$C$130:$C$161,Fixture!BG31)-BJ31-BK31-BL31-BM31-BN31-BO31</f>
        <v>0</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t="str">
        <f>IF(ISBLANK(INDEX(WORLDCUP!$AC$4:$AC$147,MATCH(A32,WORLDCUP!$AH$4:$AH$147,0))),"",INDEX(WORLDCUP!$AC$4:$AC$147,MATCH(A32,WORLDCUP!$AH$4:$AH$147,0)))</f>
        <v/>
      </c>
      <c r="E32" s="488" t="str">
        <f>IF(ISBLANK(INDEX(WORLDCUP!$AD$4:$AD$147,MATCH(A32,WORLDCUP!$AH$4:$AH$147,0))),"",INDEX(WORLDCUP!$AD$4:$AD$147,MATCH(A32,WORLDCUP!$AH$4:$AH$147,0)))</f>
        <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t="str">
        <f>IF(ISBLANK(INDEX(WORLDCUP!$AC$4:$AC$147,MATCH(M32,WORLDCUP!$AH$4:$AH$147,0))),"",INDEX(WORLDCUP!$AC$4:$AC$147,MATCH(M32,WORLDCUP!$AH$4:$AH$147,0)))</f>
        <v/>
      </c>
      <c r="Q32" s="488" t="str">
        <f>IF(ISBLANK(INDEX(WORLDCUP!$AD$4:$AD$147,MATCH(M32,WORLDCUP!$AH$4:$AH$147,0))),"",INDEX(WORLDCUP!$AD$4:$AD$147,MATCH(M32,WORLDCUP!$AH$4:$AH$147,0)))</f>
        <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+MID(INDEX(WORLDCUP!$AF$101:$AF$147,MATCH(AH32,WORLDCUP!$Z$101:$Z$147,0)),1,3)</f>
        <v>W92</v>
      </c>
      <c r="AJ32" s="484" t="str">
        <f>+IF(ISBLANK(INDEX(WORLDCUP!$AD$101:$AD$147,MATCH(AH32,WORLDCUP!$Z$101:$Z$147,0))),"",INDEX(WORLDCUP!$AD$101:$AD$147,MATCH(AH32,WORLDCUP!$Z$101:$Z$147,0)))</f>
        <v/>
      </c>
      <c r="AK32" s="495" t="str">
        <f>+IF(ISBLANK(INDEX(WORLDCUP!$AE$101:$AE$147,MATCH(AH32,WORLDCUP!$Z$101:$Z$147,0))),"","( "&amp;INDEX(WORLDCUP!$AE$101:$AE$147,MATCH(AH32,WORLDCUP!$Z$101:$Z$147,0))&amp;" )")</f>
        <v/>
      </c>
      <c r="AL32" s="181"/>
      <c r="AM32" s="431"/>
      <c r="AN32" s="431"/>
      <c r="AO32" s="512"/>
      <c r="AP32" s="415">
        <v>103</v>
      </c>
      <c r="AQ32" s="547" t="str">
        <f>+MID(INDEX(WORLDCUP!$AF$101:$AF$147,MATCH(AP32,WORLDCUP!$Z$101:$Z$147,0)),1,4)</f>
        <v>L102</v>
      </c>
      <c r="AR32" s="548" t="str">
        <f>+IF(ISBLANK(INDEX(WORLDCUP!$AD$101:$AD$147,MATCH(AP32,WORLDCUP!$Z$101:$Z$147,0))),"",INDEX(WORLDCUP!$AD$101:$AD$147,MATCH(AP32,WORLDCUP!$Z$101:$Z$147,0)))</f>
        <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1</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1A</v>
      </c>
      <c r="AB33" s="427" t="str">
        <f>+IF(ISBLANK(INDEX(WORLDCUP!$AC$101:$AC$147,MATCH(Y33,WORLDCUP!$Z$101:$Z$147,0))),"",INDEX(WORLDCUP!$AC$101:$AC$147,MATCH(Y33,WORLDCUP!$Z$101:$Z$147,0)))</f>
        <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3CEFHI</v>
      </c>
      <c r="AB34" s="453" t="str">
        <f>+IF(ISBLANK(INDEX(WORLDCUP!$AD$101:$AD$147,MATCH(Y34,WORLDCUP!$Z$101:$Z$147,0))),"",INDEX(WORLDCUP!$AD$101:$AD$147,MATCH(Y34,WORLDCUP!$Z$101:$Z$147,0)))</f>
        <v/>
      </c>
      <c r="AC34" s="454" t="str">
        <f>+IF(ISBLANK(INDEX(WORLDCUP!$AE$101:$AE$147,MATCH(Y34,WORLDCUP!$Z$101:$Z$147,0))),"","( "&amp;INDEX(WORLDCUP!$AE$101:$AE$147,MATCH(Y34,WORLDCUP!$Z$101:$Z$147,0))&amp;" )")</f>
        <v/>
      </c>
      <c r="AD34" s="455">
        <v>92</v>
      </c>
      <c r="AE34" s="456" t="str">
        <f>+MID(INDEX(WORLDCUP!$AA$101:$AA$147,MATCH(AD34,WORLDCUP!$Z$101:$Z$147,0)),1,3)</f>
        <v>W79</v>
      </c>
      <c r="AF34" s="457" t="str">
        <f>+IF(ISBLANK(INDEX(WORLDCUP!$AC$101:$AC$147,MATCH(AD34,WORLDCUP!$Z$101:$Z$147,0))),"",INDEX(WORLDCUP!$AC$101:$AC$147,MATCH(AD34,WORLDCUP!$Z$101:$Z$147,0)))</f>
        <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t="str">
        <f>IF(ISBLANK(INDEX(WORLDCUP!$AC$4:$AC$147,MATCH(A35,WORLDCUP!$AH$4:$AH$147,0))),"",INDEX(WORLDCUP!$AC$4:$AC$147,MATCH(A35,WORLDCUP!$AH$4:$AH$147,0)))</f>
        <v/>
      </c>
      <c r="E35" s="418" t="str">
        <f>IF(ISBLANK(INDEX(WORLDCUP!$AD$4:$AD$147,MATCH(A35,WORLDCUP!$AH$4:$AH$147,0))),"",INDEX(WORLDCUP!$AD$4:$AD$147,MATCH(A35,WORLDCUP!$AH$4:$AH$147,0)))</f>
        <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t="str">
        <f>IF(ISBLANK(INDEX(WORLDCUP!$AC$4:$AC$147,MATCH(M35,WORLDCUP!$AH$4:$AH$147,0))),"",INDEX(WORLDCUP!$AC$4:$AC$147,MATCH(M35,WORLDCUP!$AH$4:$AH$147,0)))</f>
        <v/>
      </c>
      <c r="Q35" s="418" t="str">
        <f>IF(ISBLANK(INDEX(WORLDCUP!$AD$4:$AD$147,MATCH(M35,WORLDCUP!$AH$4:$AH$147,0))),"",INDEX(WORLDCUP!$AD$4:$AD$147,MATCH(M35,WORLDCUP!$AH$4:$AH$147,0)))</f>
        <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+MID(INDEX(WORLDCUP!$AF$101:$AF$147,MATCH(AD35,WORLDCUP!$Z$101:$Z$147,0)),1,3)</f>
        <v>W80</v>
      </c>
      <c r="AF35" s="457" t="str">
        <f>+IF(ISBLANK(INDEX(WORLDCUP!$AD$101:$AD$147,MATCH(AD35,WORLDCUP!$Z$101:$Z$147,0))),"",INDEX(WORLDCUP!$AD$101:$AD$147,MATCH(AD35,WORLDCUP!$Z$101:$Z$147,0)))</f>
        <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t="str">
        <f>IF(ISBLANK(INDEX(WORLDCUP!$AC$4:$AC$147,MATCH(A36,WORLDCUP!$AH$4:$AH$147,0))),"",INDEX(WORLDCUP!$AC$4:$AC$147,MATCH(A36,WORLDCUP!$AH$4:$AH$147,0)))</f>
        <v/>
      </c>
      <c r="E36" s="445" t="str">
        <f>IF(ISBLANK(INDEX(WORLDCUP!$AD$4:$AD$147,MATCH(A36,WORLDCUP!$AH$4:$AH$147,0))),"",INDEX(WORLDCUP!$AD$4:$AD$147,MATCH(A36,WORLDCUP!$AH$4:$AH$147,0)))</f>
        <v/>
      </c>
      <c r="F36" s="446" t="str">
        <f ca="1">+MID(INDEX(WORLDCUP!$AF$4:$AF$147,MATCH(A36,WORLDCUP!$AH$4:$AH$147,0)),1,3)</f>
        <v>Ecu</v>
      </c>
      <c r="G36" s="447">
        <v>1</v>
      </c>
      <c r="H36" s="448" t="str">
        <f ca="1">+MID(INDEX(WORLDCUP!$AL$6:$AL$97,MATCH(L36,WORLDCUP!$AI$6:$AI$97,0)),1,3)</f>
        <v>Ger</v>
      </c>
      <c r="I36" s="449">
        <f ca="1">+INDEX(WORLDCUP!$AM$6:$AM$97,MATCH(L36,WORLDCUP!$AI$6:$AI$97,0))</f>
        <v>0</v>
      </c>
      <c r="J36" s="450">
        <f ca="1">+INDEX(WORLDCUP!$AT$6:$AT$97,MATCH(L36,WORLDCUP!$AI$6:$AI$97,0))</f>
        <v>0</v>
      </c>
      <c r="K36" s="451" t="str">
        <f ca="1">+INDEX(WORLDCUP!$AR$6:$AR$97,MATCH(L36,WORLDCUP!$AI$6:$AI$97,0))&amp;"-"&amp;INDEX(WORLDCUP!$AS$6:$AS$97,MATCH(L36,WORLDCUP!$AI$6:$AI$97,0))</f>
        <v>0-0</v>
      </c>
      <c r="L36" s="181" t="s">
        <v>673</v>
      </c>
      <c r="M36" s="181">
        <v>24</v>
      </c>
      <c r="N36" s="561"/>
      <c r="O36" s="444" t="str">
        <f ca="1">+MID(INDEX(WORLDCUP!$AA$4:$AA$147,MATCH(M36,WORLDCUP!$AH$4:$AH$147,0)),1,3)</f>
        <v>Uzb</v>
      </c>
      <c r="P36" s="445" t="str">
        <f>IF(ISBLANK(INDEX(WORLDCUP!$AC$4:$AC$147,MATCH(M36,WORLDCUP!$AH$4:$AH$147,0))),"",INDEX(WORLDCUP!$AC$4:$AC$147,MATCH(M36,WORLDCUP!$AH$4:$AH$147,0)))</f>
        <v/>
      </c>
      <c r="Q36" s="445" t="str">
        <f>IF(ISBLANK(INDEX(WORLDCUP!$AD$4:$AD$147,MATCH(M36,WORLDCUP!$AH$4:$AH$147,0))),"",INDEX(WORLDCUP!$AD$4:$AD$147,MATCH(M36,WORLDCUP!$AH$4:$AH$147,0)))</f>
        <v/>
      </c>
      <c r="R36" s="446" t="str">
        <f ca="1">+MID(INDEX(WORLDCUP!$AF$4:$AF$147,MATCH(M36,WORLDCUP!$AH$4:$AH$147,0)),1,3)</f>
        <v>Col</v>
      </c>
      <c r="S36" s="447">
        <v>1</v>
      </c>
      <c r="T36" s="448" t="str">
        <f ca="1">+MID(INDEX(WORLDCUP!$AL$6:$AL$97,MATCH(X36,WORLDCUP!$AI$6:$AI$97,0)),1,3)</f>
        <v>Por</v>
      </c>
      <c r="U36" s="449">
        <f ca="1">+INDEX(WORLDCUP!$AM$6:$AM$97,MATCH(X36,WORLDCUP!$AI$6:$AI$97,0))</f>
        <v>0</v>
      </c>
      <c r="V36" s="450">
        <f ca="1">+INDEX(WORLDCUP!$AT$6:$AT$97,MATCH(X36,WORLDCUP!$AI$6:$AI$97,0))</f>
        <v>0</v>
      </c>
      <c r="W36" s="451" t="str">
        <f ca="1">+INDEX(WORLDCUP!$AR$6:$AR$97,MATCH(X36,WORLDCUP!$AI$6:$AI$97,0))&amp;"-"&amp;INDEX(WORLDCUP!$AS$6:$AS$97,MATCH(X36,WORLDCUP!$AI$6:$AI$97,0))</f>
        <v>0-0</v>
      </c>
      <c r="X36" s="181" t="s">
        <v>691</v>
      </c>
      <c r="Y36" s="181">
        <v>80</v>
      </c>
      <c r="Z36" s="425" t="s">
        <v>694</v>
      </c>
      <c r="AA36" s="426" t="str">
        <f ca="1">+MID(INDEX(WORLDCUP!$AA$101:$AA$147,MATCH(Y36,WORLDCUP!$Z$101:$Z$147,0)),1,3)</f>
        <v>1L</v>
      </c>
      <c r="AB36" s="472" t="str">
        <f>+IF(ISBLANK(INDEX(WORLDCUP!$AC$101:$AC$147,MATCH(Y36,WORLDCUP!$Z$101:$Z$147,0))),"",INDEX(WORLDCUP!$AC$101:$AC$147,MATCH(Y36,WORLDCUP!$Z$101:$Z$147,0)))</f>
        <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t="str">
        <f>IF(ISBLANK(INDEX(WORLDCUP!$AC$4:$AC$147,MATCH(A37,WORLDCUP!$AH$4:$AH$147,0))),"",INDEX(WORLDCUP!$AC$4:$AC$147,MATCH(A37,WORLDCUP!$AH$4:$AH$147,0)))</f>
        <v/>
      </c>
      <c r="E37" s="445" t="str">
        <f>IF(ISBLANK(INDEX(WORLDCUP!$AD$4:$AD$147,MATCH(A37,WORLDCUP!$AH$4:$AH$147,0))),"",INDEX(WORLDCUP!$AD$4:$AD$147,MATCH(A37,WORLDCUP!$AH$4:$AH$147,0)))</f>
        <v/>
      </c>
      <c r="F37" s="446" t="str">
        <f ca="1">+MID(INDEX(WORLDCUP!$AF$4:$AF$147,MATCH(A37,WORLDCUP!$AH$4:$AH$147,0)),1,3)</f>
        <v>Ivo</v>
      </c>
      <c r="G37" s="467">
        <v>2</v>
      </c>
      <c r="H37" s="468" t="str">
        <f ca="1">+MID(INDEX(WORLDCUP!$AL$6:$AL$97,MATCH(L37,WORLDCUP!$AI$6:$AI$97,0)),1,3)</f>
        <v>Cur</v>
      </c>
      <c r="I37" s="38">
        <f ca="1">+INDEX(WORLDCUP!$AM$6:$AM$97,MATCH(L37,WORLDCUP!$AI$6:$AI$97,0))</f>
        <v>0</v>
      </c>
      <c r="J37" s="39">
        <f ca="1">+INDEX(WORLDCUP!$AT$6:$AT$97,MATCH(L37,WORLDCUP!$AI$6:$AI$97,0))</f>
        <v>0</v>
      </c>
      <c r="K37" s="43" t="str">
        <f ca="1">+INDEX(WORLDCUP!$AR$6:$AR$97,MATCH(L37,WORLDCUP!$AI$6:$AI$97,0))&amp;"-"&amp;INDEX(WORLDCUP!$AS$6:$AS$97,MATCH(L37,WORLDCUP!$AI$6:$AI$97,0))</f>
        <v>0-0</v>
      </c>
      <c r="L37" s="181" t="s">
        <v>674</v>
      </c>
      <c r="M37" s="181">
        <v>47</v>
      </c>
      <c r="N37" s="561"/>
      <c r="O37" s="444" t="str">
        <f ca="1">+MID(INDEX(WORLDCUP!$AA$4:$AA$147,MATCH(M37,WORLDCUP!$AH$4:$AH$147,0)),1,3)</f>
        <v>Por</v>
      </c>
      <c r="P37" s="445" t="str">
        <f>IF(ISBLANK(INDEX(WORLDCUP!$AC$4:$AC$147,MATCH(M37,WORLDCUP!$AH$4:$AH$147,0))),"",INDEX(WORLDCUP!$AC$4:$AC$147,MATCH(M37,WORLDCUP!$AH$4:$AH$147,0)))</f>
        <v/>
      </c>
      <c r="Q37" s="445" t="str">
        <f>IF(ISBLANK(INDEX(WORLDCUP!$AD$4:$AD$147,MATCH(M37,WORLDCUP!$AH$4:$AH$147,0))),"",INDEX(WORLDCUP!$AD$4:$AD$147,MATCH(M37,WORLDCUP!$AH$4:$AH$147,0)))</f>
        <v/>
      </c>
      <c r="R37" s="446" t="str">
        <f ca="1">+MID(INDEX(WORLDCUP!$AF$4:$AF$147,MATCH(M37,WORLDCUP!$AH$4:$AH$147,0)),1,3)</f>
        <v>Uzb</v>
      </c>
      <c r="S37" s="467">
        <v>2</v>
      </c>
      <c r="T37" s="468" t="str">
        <f ca="1">+MID(INDEX(WORLDCUP!$AL$6:$AL$97,MATCH(X37,WORLDCUP!$AI$6:$AI$97,0)),1,3)</f>
        <v xml:space="preserve">DR </v>
      </c>
      <c r="U37" s="38">
        <f ca="1">+INDEX(WORLDCUP!$AM$6:$AM$97,MATCH(X37,WORLDCUP!$AI$6:$AI$97,0))</f>
        <v>0</v>
      </c>
      <c r="V37" s="39">
        <f ca="1">+INDEX(WORLDCUP!$AT$6:$AT$97,MATCH(X37,WORLDCUP!$AI$6:$AI$97,0))</f>
        <v>0</v>
      </c>
      <c r="W37" s="43" t="str">
        <f ca="1">+INDEX(WORLDCUP!$AR$6:$AR$97,MATCH(X37,WORLDCUP!$AI$6:$AI$97,0))&amp;"-"&amp;INDEX(WORLDCUP!$AS$6:$AS$97,MATCH(X37,WORLDCUP!$AI$6:$AI$97,0))</f>
        <v>0-0</v>
      </c>
      <c r="X37" s="181" t="s">
        <v>692</v>
      </c>
      <c r="Y37" s="181">
        <v>80</v>
      </c>
      <c r="Z37" s="425" t="s">
        <v>737</v>
      </c>
      <c r="AA37" s="480" t="str">
        <f ca="1">+MID(INDEX(WORLDCUP!$AF$101:$AF$147,MATCH(Y37,WORLDCUP!$Z$101:$Z$147,0)),1,IF(WORLDCUP!$H$113&lt;144,6,3))</f>
        <v>3EHIJK</v>
      </c>
      <c r="AB37" s="481" t="str">
        <f>+IF(ISBLANK(INDEX(WORLDCUP!$AD$101:$AD$147,MATCH(Y37,WORLDCUP!$Z$101:$Z$147,0))),"",INDEX(WORLDCUP!$AD$101:$AD$147,MATCH(Y37,WORLDCUP!$Z$101:$Z$147,0)))</f>
        <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+MID(INDEX(WORLDCUP!$AA$101:$AA$147,MATCH(AL37,WORLDCUP!$Z$101:$Z$147,0)),1,3)</f>
        <v>W99</v>
      </c>
      <c r="AN37" s="509" t="str">
        <f>+IF(ISBLANK(INDEX(WORLDCUP!$AC$101:$AC$147,MATCH(AL37,WORLDCUP!$Z$101:$Z$147,0))),"",INDEX(WORLDCUP!$AC$101:$AC$147,MATCH(AL37,WORLDCUP!$Z$101:$Z$147,0)))</f>
        <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1</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t="str">
        <f>IF(ISBLANK(INDEX(WORLDCUP!$AC$4:$AC$147,MATCH(A38,WORLDCUP!$AH$4:$AH$147,0))),"",INDEX(WORLDCUP!$AC$4:$AC$147,MATCH(A38,WORLDCUP!$AH$4:$AH$147,0)))</f>
        <v/>
      </c>
      <c r="E38" s="445" t="str">
        <f>IF(ISBLANK(INDEX(WORLDCUP!$AD$4:$AD$147,MATCH(A38,WORLDCUP!$AH$4:$AH$147,0))),"",INDEX(WORLDCUP!$AD$4:$AD$147,MATCH(A38,WORLDCUP!$AH$4:$AH$147,0)))</f>
        <v/>
      </c>
      <c r="F38" s="446" t="str">
        <f ca="1">+MID(INDEX(WORLDCUP!$AF$4:$AF$147,MATCH(A38,WORLDCUP!$AH$4:$AH$147,0)),1,3)</f>
        <v>Cur</v>
      </c>
      <c r="G38" s="467">
        <v>3</v>
      </c>
      <c r="H38" s="468" t="str">
        <f ca="1">+MID(INDEX(WORLDCUP!$AL$6:$AL$97,MATCH(L38,WORLDCUP!$AI$6:$AI$97,0)),1,3)</f>
        <v>Ivo</v>
      </c>
      <c r="I38" s="38">
        <f ca="1">+INDEX(WORLDCUP!$AM$6:$AM$97,MATCH(L38,WORLDCUP!$AI$6:$AI$97,0))</f>
        <v>0</v>
      </c>
      <c r="J38" s="39">
        <f ca="1">+INDEX(WORLDCUP!$AT$6:$AT$97,MATCH(L38,WORLDCUP!$AI$6:$AI$97,0))</f>
        <v>0</v>
      </c>
      <c r="K38" s="43" t="str">
        <f ca="1">+INDEX(WORLDCUP!$AR$6:$AR$97,MATCH(L38,WORLDCUP!$AI$6:$AI$97,0))&amp;"-"&amp;INDEX(WORLDCUP!$AS$6:$AS$97,MATCH(L38,WORLDCUP!$AI$6:$AI$97,0))</f>
        <v>0-0</v>
      </c>
      <c r="L38" s="181" t="s">
        <v>94</v>
      </c>
      <c r="M38" s="181">
        <v>48</v>
      </c>
      <c r="N38" s="561"/>
      <c r="O38" s="444" t="str">
        <f ca="1">+MID(INDEX(WORLDCUP!$AA$4:$AA$147,MATCH(M38,WORLDCUP!$AH$4:$AH$147,0)),1,3)</f>
        <v>Col</v>
      </c>
      <c r="P38" s="445" t="str">
        <f>IF(ISBLANK(INDEX(WORLDCUP!$AC$4:$AC$147,MATCH(M38,WORLDCUP!$AH$4:$AH$147,0))),"",INDEX(WORLDCUP!$AC$4:$AC$147,MATCH(M38,WORLDCUP!$AH$4:$AH$147,0)))</f>
        <v/>
      </c>
      <c r="Q38" s="445" t="str">
        <f>IF(ISBLANK(INDEX(WORLDCUP!$AD$4:$AD$147,MATCH(M38,WORLDCUP!$AH$4:$AH$147,0))),"",INDEX(WORLDCUP!$AD$4:$AD$147,MATCH(M38,WORLDCUP!$AH$4:$AH$147,0)))</f>
        <v/>
      </c>
      <c r="R38" s="446" t="str">
        <f ca="1">+MID(INDEX(WORLDCUP!$AF$4:$AF$147,MATCH(M38,WORLDCUP!$AH$4:$AH$147,0)),1,3)</f>
        <v xml:space="preserve">DR </v>
      </c>
      <c r="S38" s="467">
        <v>3</v>
      </c>
      <c r="T38" s="468" t="str">
        <f ca="1">+MID(INDEX(WORLDCUP!$AL$6:$AL$97,MATCH(X38,WORLDCUP!$AI$6:$AI$97,0)),1,3)</f>
        <v>Uzb</v>
      </c>
      <c r="U38" s="38">
        <f ca="1">+INDEX(WORLDCUP!$AM$6:$AM$97,MATCH(X38,WORLDCUP!$AI$6:$AI$97,0))</f>
        <v>0</v>
      </c>
      <c r="V38" s="39">
        <f ca="1">+INDEX(WORLDCUP!$AT$6:$AT$97,MATCH(X38,WORLDCUP!$AI$6:$AI$97,0))</f>
        <v>0</v>
      </c>
      <c r="W38" s="43" t="str">
        <f ca="1">+INDEX(WORLDCUP!$AR$6:$AR$97,MATCH(X38,WORLDCUP!$AI$6:$AI$97,0))&amp;"-"&amp;INDEX(WORLDCUP!$AS$6:$AS$97,MATCH(X38,WORLDCUP!$AI$6:$AI$97,0))</f>
        <v>0-0</v>
      </c>
      <c r="X38" s="181" t="s">
        <v>452</v>
      </c>
      <c r="Y38" s="181"/>
      <c r="Z38" s="425"/>
      <c r="AA38" s="494"/>
      <c r="AB38" s="494"/>
      <c r="AC38" s="494"/>
      <c r="AD38" s="181"/>
      <c r="AE38" s="429"/>
      <c r="AF38" s="429"/>
      <c r="AG38" s="429"/>
      <c r="AH38" s="181"/>
      <c r="AI38" s="459"/>
      <c r="AJ38" s="459"/>
      <c r="AK38" s="499"/>
      <c r="AL38" s="181">
        <v>102</v>
      </c>
      <c r="AM38" s="508" t="str" cm="1">
        <f t="array" ref="AM38">+MID(INDEX(WORLDCUP!$AF$101:$AF$147,MATCH(AL38,WORLDCUP!$Z$101:$Z$147,0)),1,IF(OR(ISBLANK(AC134:AD134)),4,3))</f>
        <v>W100</v>
      </c>
      <c r="AN38" s="509" t="str">
        <f>+IF(ISBLANK(INDEX(WORLDCUP!$AD$101:$AD$147,MATCH(AL38,WORLDCUP!$Z$101:$Z$147,0))),"",INDEX(WORLDCUP!$AD$101:$AD$147,MATCH(AL38,WORLDCUP!$Z$101:$Z$147,0)))</f>
        <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t="str">
        <f>IF(ISBLANK(INDEX(WORLDCUP!$AC$4:$AC$147,MATCH(A39,WORLDCUP!$AH$4:$AH$147,0))),"",INDEX(WORLDCUP!$AC$4:$AC$147,MATCH(A39,WORLDCUP!$AH$4:$AH$147,0)))</f>
        <v/>
      </c>
      <c r="E39" s="445" t="str">
        <f>IF(ISBLANK(INDEX(WORLDCUP!$AD$4:$AD$147,MATCH(A39,WORLDCUP!$AH$4:$AH$147,0))),"",INDEX(WORLDCUP!$AD$4:$AD$147,MATCH(A39,WORLDCUP!$AH$4:$AH$147,0)))</f>
        <v/>
      </c>
      <c r="F39" s="446" t="str">
        <f ca="1">+MID(INDEX(WORLDCUP!$AF$4:$AF$147,MATCH(A39,WORLDCUP!$AH$4:$AH$147,0)),1,3)</f>
        <v>Ivo</v>
      </c>
      <c r="G39" s="467">
        <v>4</v>
      </c>
      <c r="H39" s="476" t="str">
        <f ca="1">+MID(INDEX(WORLDCUP!$AL$6:$AL$97,MATCH(L39,WORLDCUP!$AI$6:$AI$97,0)),1,3)</f>
        <v>Ecu</v>
      </c>
      <c r="I39" s="477">
        <f ca="1">+INDEX(WORLDCUP!$AM$6:$AM$97,MATCH(L39,WORLDCUP!$AI$6:$AI$97,0))</f>
        <v>0</v>
      </c>
      <c r="J39" s="478">
        <f ca="1">+INDEX(WORLDCUP!$AT$6:$AT$97,MATCH(L39,WORLDCUP!$AI$6:$AI$97,0))</f>
        <v>0</v>
      </c>
      <c r="K39" s="479" t="str">
        <f ca="1">+INDEX(WORLDCUP!$AR$6:$AR$97,MATCH(L39,WORLDCUP!$AI$6:$AI$97,0))&amp;"-"&amp;INDEX(WORLDCUP!$AS$6:$AS$97,MATCH(L39,WORLDCUP!$AI$6:$AI$97,0))</f>
        <v>0-0</v>
      </c>
      <c r="L39" s="181" t="s">
        <v>675</v>
      </c>
      <c r="M39" s="181">
        <v>71</v>
      </c>
      <c r="N39" s="561"/>
      <c r="O39" s="444" t="str">
        <f ca="1">+MID(INDEX(WORLDCUP!$AA$4:$AA$147,MATCH(M39,WORLDCUP!$AH$4:$AH$147,0)),1,3)</f>
        <v>Col</v>
      </c>
      <c r="P39" s="445" t="str">
        <f>IF(ISBLANK(INDEX(WORLDCUP!$AC$4:$AC$147,MATCH(M39,WORLDCUP!$AH$4:$AH$147,0))),"",INDEX(WORLDCUP!$AC$4:$AC$147,MATCH(M39,WORLDCUP!$AH$4:$AH$147,0)))</f>
        <v/>
      </c>
      <c r="Q39" s="445" t="str">
        <f>IF(ISBLANK(INDEX(WORLDCUP!$AD$4:$AD$147,MATCH(M39,WORLDCUP!$AH$4:$AH$147,0))),"",INDEX(WORLDCUP!$AD$4:$AD$147,MATCH(M39,WORLDCUP!$AH$4:$AH$147,0)))</f>
        <v/>
      </c>
      <c r="R39" s="446" t="str">
        <f ca="1">+MID(INDEX(WORLDCUP!$AF$4:$AF$147,MATCH(M39,WORLDCUP!$AH$4:$AH$147,0)),1,3)</f>
        <v>Por</v>
      </c>
      <c r="S39" s="467">
        <v>4</v>
      </c>
      <c r="T39" s="476" t="str">
        <f ca="1">+MID(INDEX(WORLDCUP!$AL$6:$AL$97,MATCH(X39,WORLDCUP!$AI$6:$AI$97,0)),1,3)</f>
        <v>Col</v>
      </c>
      <c r="U39" s="477">
        <f ca="1">+INDEX(WORLDCUP!$AM$6:$AM$97,MATCH(X39,WORLDCUP!$AI$6:$AI$97,0))</f>
        <v>0</v>
      </c>
      <c r="V39" s="478">
        <f ca="1">+INDEX(WORLDCUP!$AT$6:$AT$97,MATCH(X39,WORLDCUP!$AI$6:$AI$97,0))</f>
        <v>0</v>
      </c>
      <c r="W39" s="479" t="str">
        <f ca="1">+INDEX(WORLDCUP!$AR$6:$AR$97,MATCH(X39,WORLDCUP!$AI$6:$AI$97,0))&amp;"-"&amp;INDEX(WORLDCUP!$AS$6:$AS$97,MATCH(X39,WORLDCUP!$AI$6:$AI$97,0))</f>
        <v>0-0</v>
      </c>
      <c r="X39" s="181" t="s">
        <v>693</v>
      </c>
      <c r="Y39" s="181">
        <v>86</v>
      </c>
      <c r="Z39" s="425" t="s">
        <v>688</v>
      </c>
      <c r="AA39" s="426" t="str">
        <f ca="1">+MID(INDEX(WORLDCUP!$AA$101:$AA$147,MATCH(Y39,WORLDCUP!$Z$101:$Z$147,0)),1,3)</f>
        <v>1J</v>
      </c>
      <c r="AB39" s="427" t="str">
        <f>+IF(ISBLANK(INDEX(WORLDCUP!$AC$101:$AC$147,MATCH(Y39,WORLDCUP!$Z$101:$Z$147,0))),"",INDEX(WORLDCUP!$AC$101:$AC$147,MATCH(Y39,WORLDCUP!$Z$101:$Z$147,0)))</f>
        <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t="str">
        <f>IF(ISBLANK(INDEX(WORLDCUP!$AC$4:$AC$147,MATCH(A40,WORLDCUP!$AH$4:$AH$147,0))),"",INDEX(WORLDCUP!$AC$4:$AC$147,MATCH(A40,WORLDCUP!$AH$4:$AH$147,0)))</f>
        <v/>
      </c>
      <c r="E40" s="488" t="str">
        <f>IF(ISBLANK(INDEX(WORLDCUP!$AD$4:$AD$147,MATCH(A40,WORLDCUP!$AH$4:$AH$147,0))),"",INDEX(WORLDCUP!$AD$4:$AD$147,MATCH(A40,WORLDCUP!$AH$4:$AH$147,0)))</f>
        <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t="str">
        <f>IF(ISBLANK(INDEX(WORLDCUP!$AC$4:$AC$147,MATCH(M40,WORLDCUP!$AH$4:$AH$147,0))),"",INDEX(WORLDCUP!$AC$4:$AC$147,MATCH(M40,WORLDCUP!$AH$4:$AH$147,0)))</f>
        <v/>
      </c>
      <c r="Q40" s="488" t="str">
        <f>IF(ISBLANK(INDEX(WORLDCUP!$AD$4:$AD$147,MATCH(M40,WORLDCUP!$AH$4:$AH$147,0))),"",INDEX(WORLDCUP!$AD$4:$AD$147,MATCH(M40,WORLDCUP!$AH$4:$AH$147,0)))</f>
        <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2H</v>
      </c>
      <c r="AB40" s="453" t="str">
        <f>+IF(ISBLANK(INDEX(WORLDCUP!$AD$101:$AD$147,MATCH(Y40,WORLDCUP!$Z$101:$Z$147,0))),"",INDEX(WORLDCUP!$AD$101:$AD$147,MATCH(Y40,WORLDCUP!$Z$101:$Z$147,0)))</f>
        <v/>
      </c>
      <c r="AC40" s="454" t="str">
        <f>+IF(ISBLANK(INDEX(WORLDCUP!$AE$101:$AE$147,MATCH(Y40,WORLDCUP!$Z$101:$Z$147,0))),"","( "&amp;INDEX(WORLDCUP!$AE$101:$AE$147,MATCH(Y40,WORLDCUP!$Z$101:$Z$147,0))&amp;" )")</f>
        <v/>
      </c>
      <c r="AD40" s="455">
        <v>95</v>
      </c>
      <c r="AE40" s="456" t="str">
        <f>+MID(INDEX(WORLDCUP!$AA$101:$AA$147,MATCH(AD40,WORLDCUP!$Z$101:$Z$147,0)),1,3)</f>
        <v>W86</v>
      </c>
      <c r="AF40" s="457" t="str">
        <f>+IF(ISBLANK(INDEX(WORLDCUP!$AC$101:$AC$147,MATCH(AD40,WORLDCUP!$Z$101:$Z$147,0))),"",INDEX(WORLDCUP!$AC$101:$AC$147,MATCH(AD40,WORLDCUP!$Z$101:$Z$147,0)))</f>
        <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+MID(INDEX(WORLDCUP!$AF$101:$AF$147,MATCH(AD41,WORLDCUP!$Z$101:$Z$147,0)),1,3)</f>
        <v>W88</v>
      </c>
      <c r="AF41" s="457" t="str">
        <f>+IF(ISBLANK(INDEX(WORLDCUP!$AD$101:$AD$147,MATCH(AD41,WORLDCUP!$Z$101:$Z$147,0))),"",INDEX(WORLDCUP!$AD$101:$AD$147,MATCH(AD41,WORLDCUP!$Z$101:$Z$147,0)))</f>
        <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2D</v>
      </c>
      <c r="AB42" s="472" t="str">
        <f>+IF(ISBLANK(INDEX(WORLDCUP!$AC$101:$AC$147,MATCH(Y42,WORLDCUP!$Z$101:$Z$147,0))),"",INDEX(WORLDCUP!$AC$101:$AC$147,MATCH(Y42,WORLDCUP!$Z$101:$Z$147,0)))</f>
        <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t="str">
        <f>IF(ISBLANK(INDEX(WORLDCUP!$AC$4:$AC$147,MATCH(A43,WORLDCUP!$AH$4:$AH$147,0))),"",INDEX(WORLDCUP!$AC$4:$AC$147,MATCH(A43,WORLDCUP!$AH$4:$AH$147,0)))</f>
        <v/>
      </c>
      <c r="E43" s="418" t="str">
        <f>IF(ISBLANK(INDEX(WORLDCUP!$AD$4:$AD$147,MATCH(A43,WORLDCUP!$AH$4:$AH$147,0))),"",INDEX(WORLDCUP!$AD$4:$AD$147,MATCH(A43,WORLDCUP!$AH$4:$AH$147,0)))</f>
        <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t="str">
        <f>IF(ISBLANK(INDEX(WORLDCUP!$AC$4:$AC$147,MATCH(M43,WORLDCUP!$AH$4:$AH$147,0))),"",INDEX(WORLDCUP!$AC$4:$AC$147,MATCH(M43,WORLDCUP!$AH$4:$AH$147,0)))</f>
        <v/>
      </c>
      <c r="Q43" s="418" t="str">
        <f>IF(ISBLANK(INDEX(WORLDCUP!$AD$4:$AD$147,MATCH(M43,WORLDCUP!$AH$4:$AH$147,0))),"",INDEX(WORLDCUP!$AD$4:$AD$147,MATCH(M43,WORLDCUP!$AH$4:$AH$147,0)))</f>
        <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2G</v>
      </c>
      <c r="AB43" s="481" t="str">
        <f>+IF(ISBLANK(INDEX(WORLDCUP!$AD$101:$AD$147,MATCH(Y43,WORLDCUP!$Z$101:$Z$147,0))),"",INDEX(WORLDCUP!$AD$101:$AD$147,MATCH(Y43,WORLDCUP!$Z$101:$Z$147,0)))</f>
        <v/>
      </c>
      <c r="AC43" s="507" t="str">
        <f>+IF(ISBLANK(INDEX(WORLDCUP!$AE$101:$AE$147,MATCH(Y43,WORLDCUP!$Z$101:$Z$147,0))),"","( "&amp;INDEX(WORLDCUP!$AE$101:$AE$147,MATCH(Y43,WORLDCUP!$Z$101:$Z$147,0))&amp;" )")</f>
        <v/>
      </c>
      <c r="AD43" s="181"/>
      <c r="AE43" s="474"/>
      <c r="AF43" s="474"/>
      <c r="AG43" s="475"/>
      <c r="AH43" s="500">
        <v>100</v>
      </c>
      <c r="AI43" s="483" t="str">
        <f>+MID(INDEX(WORLDCUP!$AA$101:$AA$147,MATCH(AH43,WORLDCUP!$Z$101:$Z$147,0)),1,3)</f>
        <v>W95</v>
      </c>
      <c r="AJ43" s="484" t="str">
        <f>+IF(ISBLANK(INDEX(WORLDCUP!$AC$101:$AC$147,MATCH(AH43,WORLDCUP!$Z$101:$Z$147,0))),"",INDEX(WORLDCUP!$AC$101:$AC$147,MATCH(AH43,WORLDCUP!$Z$101:$Z$147,0)))</f>
        <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t="str">
        <f>IF(ISBLANK(INDEX(WORLDCUP!$AC$4:$AC$147,MATCH(A44,WORLDCUP!$AH$4:$AH$147,0))),"",INDEX(WORLDCUP!$AC$4:$AC$147,MATCH(A44,WORLDCUP!$AH$4:$AH$147,0)))</f>
        <v/>
      </c>
      <c r="E44" s="445" t="str">
        <f>IF(ISBLANK(INDEX(WORLDCUP!$AD$4:$AD$147,MATCH(A44,WORLDCUP!$AH$4:$AH$147,0))),"",INDEX(WORLDCUP!$AD$4:$AD$147,MATCH(A44,WORLDCUP!$AH$4:$AH$147,0)))</f>
        <v/>
      </c>
      <c r="F44" s="446" t="str">
        <f ca="1">+MID(INDEX(WORLDCUP!$AF$4:$AF$147,MATCH(A44,WORLDCUP!$AH$4:$AH$147,0)),1,3)</f>
        <v>Tun</v>
      </c>
      <c r="G44" s="447">
        <v>1</v>
      </c>
      <c r="H44" s="448" t="str">
        <f ca="1">+MID(INDEX(WORLDCUP!$AL$6:$AL$97,MATCH(L44,WORLDCUP!$AI$6:$AI$97,0)),1,3)</f>
        <v>Net</v>
      </c>
      <c r="I44" s="449">
        <f ca="1">+INDEX(WORLDCUP!$AM$6:$AM$97,MATCH(L44,WORLDCUP!$AI$6:$AI$97,0))</f>
        <v>0</v>
      </c>
      <c r="J44" s="450">
        <f ca="1">+INDEX(WORLDCUP!$AT$6:$AT$97,MATCH(L44,WORLDCUP!$AI$6:$AI$97,0))</f>
        <v>0</v>
      </c>
      <c r="K44" s="451" t="str">
        <f ca="1">+INDEX(WORLDCUP!$AR$6:$AR$97,MATCH(L44,WORLDCUP!$AI$6:$AI$97,0))&amp;"-"&amp;INDEX(WORLDCUP!$AS$6:$AS$97,MATCH(L44,WORLDCUP!$AI$6:$AI$97,0))</f>
        <v>0-0</v>
      </c>
      <c r="L44" s="181" t="s">
        <v>676</v>
      </c>
      <c r="M44" s="181">
        <v>21</v>
      </c>
      <c r="N44" s="568"/>
      <c r="O44" s="444" t="str">
        <f ca="1">+MID(INDEX(WORLDCUP!$AA$4:$AA$147,MATCH(M44,WORLDCUP!$AH$4:$AH$147,0)),1,3)</f>
        <v>Gha</v>
      </c>
      <c r="P44" s="445" t="str">
        <f>IF(ISBLANK(INDEX(WORLDCUP!$AC$4:$AC$147,MATCH(M44,WORLDCUP!$AH$4:$AH$147,0))),"",INDEX(WORLDCUP!$AC$4:$AC$147,MATCH(M44,WORLDCUP!$AH$4:$AH$147,0)))</f>
        <v/>
      </c>
      <c r="Q44" s="445" t="str">
        <f>IF(ISBLANK(INDEX(WORLDCUP!$AD$4:$AD$147,MATCH(M44,WORLDCUP!$AH$4:$AH$147,0))),"",INDEX(WORLDCUP!$AD$4:$AD$147,MATCH(M44,WORLDCUP!$AH$4:$AH$147,0)))</f>
        <v/>
      </c>
      <c r="R44" s="446" t="str">
        <f ca="1">+MID(INDEX(WORLDCUP!$AF$4:$AF$147,MATCH(M44,WORLDCUP!$AH$4:$AH$147,0)),1,3)</f>
        <v>Pan</v>
      </c>
      <c r="S44" s="447">
        <v>1</v>
      </c>
      <c r="T44" s="448" t="str">
        <f ca="1">+MID(INDEX(WORLDCUP!$AL$6:$AL$97,MATCH(X44,WORLDCUP!$AI$6:$AI$97,0)),1,3)</f>
        <v>Eng</v>
      </c>
      <c r="U44" s="449">
        <f ca="1">+INDEX(WORLDCUP!$AM$6:$AM$97,MATCH(X44,WORLDCUP!$AI$6:$AI$97,0))</f>
        <v>0</v>
      </c>
      <c r="V44" s="450">
        <f ca="1">+INDEX(WORLDCUP!$AT$6:$AT$97,MATCH(X44,WORLDCUP!$AI$6:$AI$97,0))</f>
        <v>0</v>
      </c>
      <c r="W44" s="451" t="str">
        <f ca="1">+INDEX(WORLDCUP!$AR$6:$AR$97,MATCH(X44,WORLDCUP!$AI$6:$AI$97,0))&amp;"-"&amp;INDEX(WORLDCUP!$AS$6:$AS$97,MATCH(X44,WORLDCUP!$AI$6:$AI$97,0))</f>
        <v>0-0</v>
      </c>
      <c r="X44" s="181" t="s">
        <v>694</v>
      </c>
      <c r="Y44" s="181"/>
      <c r="Z44" s="425"/>
      <c r="AA44" s="494"/>
      <c r="AB44" s="494"/>
      <c r="AC44" s="494"/>
      <c r="AD44" s="181"/>
      <c r="AE44" s="429"/>
      <c r="AF44" s="429"/>
      <c r="AG44" s="475"/>
      <c r="AH44" s="181">
        <v>100</v>
      </c>
      <c r="AI44" s="483" t="str">
        <f>+MID(INDEX(WORLDCUP!$AF$101:$AF$147,MATCH(AH44,WORLDCUP!$Z$101:$Z$147,0)),1,3)</f>
        <v>W96</v>
      </c>
      <c r="AJ44" s="484" t="str">
        <f>+IF(ISBLANK(INDEX(WORLDCUP!$AD$101:$AD$147,MATCH(AH44,WORLDCUP!$Z$101:$Z$147,0))),"",INDEX(WORLDCUP!$AD$101:$AD$147,MATCH(AH44,WORLDCUP!$Z$101:$Z$147,0)))</f>
        <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1</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t="str">
        <f>IF(ISBLANK(INDEX(WORLDCUP!$AC$4:$AC$147,MATCH(A45,WORLDCUP!$AH$4:$AH$147,0))),"",INDEX(WORLDCUP!$AC$4:$AC$147,MATCH(A45,WORLDCUP!$AH$4:$AH$147,0)))</f>
        <v/>
      </c>
      <c r="E45" s="445" t="str">
        <f>IF(ISBLANK(INDEX(WORLDCUP!$AD$4:$AD$147,MATCH(A45,WORLDCUP!$AH$4:$AH$147,0))),"",INDEX(WORLDCUP!$AD$4:$AD$147,MATCH(A45,WORLDCUP!$AH$4:$AH$147,0)))</f>
        <v/>
      </c>
      <c r="F45" s="446" t="str">
        <f ca="1">+MID(INDEX(WORLDCUP!$AF$4:$AF$147,MATCH(A45,WORLDCUP!$AH$4:$AH$147,0)),1,3)</f>
        <v>Swe</v>
      </c>
      <c r="G45" s="467">
        <v>2</v>
      </c>
      <c r="H45" s="468" t="str">
        <f ca="1">+MID(INDEX(WORLDCUP!$AL$6:$AL$97,MATCH(L45,WORLDCUP!$AI$6:$AI$97,0)),1,3)</f>
        <v>Jap</v>
      </c>
      <c r="I45" s="38">
        <f ca="1">+INDEX(WORLDCUP!$AM$6:$AM$97,MATCH(L45,WORLDCUP!$AI$6:$AI$97,0))</f>
        <v>0</v>
      </c>
      <c r="J45" s="39">
        <f ca="1">+INDEX(WORLDCUP!$AT$6:$AT$97,MATCH(L45,WORLDCUP!$AI$6:$AI$97,0))</f>
        <v>0</v>
      </c>
      <c r="K45" s="43" t="str">
        <f ca="1">+INDEX(WORLDCUP!$AR$6:$AR$97,MATCH(L45,WORLDCUP!$AI$6:$AI$97,0))&amp;"-"&amp;INDEX(WORLDCUP!$AS$6:$AS$97,MATCH(L45,WORLDCUP!$AI$6:$AI$97,0))</f>
        <v>0-0</v>
      </c>
      <c r="L45" s="181" t="s">
        <v>677</v>
      </c>
      <c r="M45" s="181">
        <v>45</v>
      </c>
      <c r="N45" s="568"/>
      <c r="O45" s="444" t="str">
        <f ca="1">+MID(INDEX(WORLDCUP!$AA$4:$AA$147,MATCH(M45,WORLDCUP!$AH$4:$AH$147,0)),1,3)</f>
        <v>Eng</v>
      </c>
      <c r="P45" s="445" t="str">
        <f>IF(ISBLANK(INDEX(WORLDCUP!$AC$4:$AC$147,MATCH(M45,WORLDCUP!$AH$4:$AH$147,0))),"",INDEX(WORLDCUP!$AC$4:$AC$147,MATCH(M45,WORLDCUP!$AH$4:$AH$147,0)))</f>
        <v/>
      </c>
      <c r="Q45" s="445" t="str">
        <f>IF(ISBLANK(INDEX(WORLDCUP!$AD$4:$AD$147,MATCH(M45,WORLDCUP!$AH$4:$AH$147,0))),"",INDEX(WORLDCUP!$AD$4:$AD$147,MATCH(M45,WORLDCUP!$AH$4:$AH$147,0)))</f>
        <v/>
      </c>
      <c r="R45" s="446" t="str">
        <f ca="1">+MID(INDEX(WORLDCUP!$AF$4:$AF$147,MATCH(M45,WORLDCUP!$AH$4:$AH$147,0)),1,3)</f>
        <v>Gha</v>
      </c>
      <c r="S45" s="467">
        <v>2</v>
      </c>
      <c r="T45" s="468" t="str">
        <f ca="1">+MID(INDEX(WORLDCUP!$AL$6:$AL$97,MATCH(X45,WORLDCUP!$AI$6:$AI$97,0)),1,3)</f>
        <v>Cro</v>
      </c>
      <c r="U45" s="38">
        <f ca="1">+INDEX(WORLDCUP!$AM$6:$AM$97,MATCH(X45,WORLDCUP!$AI$6:$AI$97,0))</f>
        <v>0</v>
      </c>
      <c r="V45" s="39">
        <f ca="1">+INDEX(WORLDCUP!$AT$6:$AT$97,MATCH(X45,WORLDCUP!$AI$6:$AI$97,0))</f>
        <v>0</v>
      </c>
      <c r="W45" s="43" t="str">
        <f ca="1">+INDEX(WORLDCUP!$AR$6:$AR$97,MATCH(X45,WORLDCUP!$AI$6:$AI$97,0))&amp;"-"&amp;INDEX(WORLDCUP!$AS$6:$AS$97,MATCH(X45,WORLDCUP!$AI$6:$AI$97,0))</f>
        <v>0-0</v>
      </c>
      <c r="X45" s="181" t="s">
        <v>695</v>
      </c>
      <c r="Y45" s="181">
        <v>85</v>
      </c>
      <c r="Z45" s="425" t="s">
        <v>660</v>
      </c>
      <c r="AA45" s="426" t="str">
        <f ca="1">+MID(INDEX(WORLDCUP!$AA$101:$AA$147,MATCH(Y45,WORLDCUP!$Z$101:$Z$147,0)),1,3)</f>
        <v>1B</v>
      </c>
      <c r="AB45" s="427" t="str">
        <f>+IF(ISBLANK(INDEX(WORLDCUP!$AC$101:$AC$147,MATCH(Y45,WORLDCUP!$Z$101:$Z$147,0))),"",INDEX(WORLDCUP!$AC$101:$AC$147,MATCH(Y45,WORLDCUP!$Z$101:$Z$147,0)))</f>
        <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t="str">
        <f>IF(ISBLANK(INDEX(WORLDCUP!$AC$4:$AC$147,MATCH(A46,WORLDCUP!$AH$4:$AH$147,0))),"",INDEX(WORLDCUP!$AC$4:$AC$147,MATCH(A46,WORLDCUP!$AH$4:$AH$147,0)))</f>
        <v/>
      </c>
      <c r="E46" s="445" t="str">
        <f>IF(ISBLANK(INDEX(WORLDCUP!$AD$4:$AD$147,MATCH(A46,WORLDCUP!$AH$4:$AH$147,0))),"",INDEX(WORLDCUP!$AD$4:$AD$147,MATCH(A46,WORLDCUP!$AH$4:$AH$147,0)))</f>
        <v/>
      </c>
      <c r="F46" s="446" t="str">
        <f ca="1">+MID(INDEX(WORLDCUP!$AF$4:$AF$147,MATCH(A46,WORLDCUP!$AH$4:$AH$147,0)),1,3)</f>
        <v>Jap</v>
      </c>
      <c r="G46" s="467">
        <v>3</v>
      </c>
      <c r="H46" s="468" t="str">
        <f ca="1">+MID(INDEX(WORLDCUP!$AL$6:$AL$97,MATCH(L46,WORLDCUP!$AI$6:$AI$97,0)),1,3)</f>
        <v>Swe</v>
      </c>
      <c r="I46" s="38">
        <f ca="1">+INDEX(WORLDCUP!$AM$6:$AM$97,MATCH(L46,WORLDCUP!$AI$6:$AI$97,0))</f>
        <v>0</v>
      </c>
      <c r="J46" s="39">
        <f ca="1">+INDEX(WORLDCUP!$AT$6:$AT$97,MATCH(L46,WORLDCUP!$AI$6:$AI$97,0))</f>
        <v>0</v>
      </c>
      <c r="K46" s="43" t="str">
        <f ca="1">+INDEX(WORLDCUP!$AR$6:$AR$97,MATCH(L46,WORLDCUP!$AI$6:$AI$97,0))&amp;"-"&amp;INDEX(WORLDCUP!$AS$6:$AS$97,MATCH(L46,WORLDCUP!$AI$6:$AI$97,0))</f>
        <v>0-0</v>
      </c>
      <c r="L46" s="181" t="s">
        <v>95</v>
      </c>
      <c r="M46" s="181">
        <v>46</v>
      </c>
      <c r="N46" s="568"/>
      <c r="O46" s="444" t="str">
        <f ca="1">+MID(INDEX(WORLDCUP!$AA$4:$AA$147,MATCH(M46,WORLDCUP!$AH$4:$AH$147,0)),1,3)</f>
        <v>Pan</v>
      </c>
      <c r="P46" s="445" t="str">
        <f>IF(ISBLANK(INDEX(WORLDCUP!$AC$4:$AC$147,MATCH(M46,WORLDCUP!$AH$4:$AH$147,0))),"",INDEX(WORLDCUP!$AC$4:$AC$147,MATCH(M46,WORLDCUP!$AH$4:$AH$147,0)))</f>
        <v/>
      </c>
      <c r="Q46" s="445" t="str">
        <f>IF(ISBLANK(INDEX(WORLDCUP!$AD$4:$AD$147,MATCH(M46,WORLDCUP!$AH$4:$AH$147,0))),"",INDEX(WORLDCUP!$AD$4:$AD$147,MATCH(M46,WORLDCUP!$AH$4:$AH$147,0)))</f>
        <v/>
      </c>
      <c r="R46" s="446" t="str">
        <f ca="1">+MID(INDEX(WORLDCUP!$AF$4:$AF$147,MATCH(M46,WORLDCUP!$AH$4:$AH$147,0)),1,3)</f>
        <v>Cro</v>
      </c>
      <c r="S46" s="467">
        <v>3</v>
      </c>
      <c r="T46" s="468" t="str">
        <f ca="1">+MID(INDEX(WORLDCUP!$AL$6:$AL$97,MATCH(X46,WORLDCUP!$AI$6:$AI$97,0)),1,3)</f>
        <v>Gha</v>
      </c>
      <c r="U46" s="38">
        <f ca="1">+INDEX(WORLDCUP!$AM$6:$AM$97,MATCH(X46,WORLDCUP!$AI$6:$AI$97,0))</f>
        <v>0</v>
      </c>
      <c r="V46" s="39">
        <f ca="1">+INDEX(WORLDCUP!$AT$6:$AT$97,MATCH(X46,WORLDCUP!$AI$6:$AI$97,0))</f>
        <v>0</v>
      </c>
      <c r="W46" s="43" t="str">
        <f ca="1">+INDEX(WORLDCUP!$AR$6:$AR$97,MATCH(X46,WORLDCUP!$AI$6:$AI$97,0))&amp;"-"&amp;INDEX(WORLDCUP!$AS$6:$AS$97,MATCH(X46,WORLDCUP!$AI$6:$AI$97,0))</f>
        <v>0-0</v>
      </c>
      <c r="X46" s="181" t="s">
        <v>453</v>
      </c>
      <c r="Y46" s="181">
        <v>85</v>
      </c>
      <c r="Z46" s="425" t="s">
        <v>740</v>
      </c>
      <c r="AA46" s="426" t="str">
        <f ca="1">+MID(INDEX(WORLDCUP!$AF$101:$AF$147,MATCH(Y46,WORLDCUP!$Z$101:$Z$147,0)),1,IF(WORLDCUP!$H$113&lt;144,6,3))</f>
        <v>3EFGIJ</v>
      </c>
      <c r="AB46" s="453" t="str">
        <f>+IF(ISBLANK(INDEX(WORLDCUP!$AD$101:$AD$147,MATCH(Y46,WORLDCUP!$Z$101:$Z$147,0))),"",INDEX(WORLDCUP!$AD$101:$AD$147,MATCH(Y46,WORLDCUP!$Z$101:$Z$147,0)))</f>
        <v/>
      </c>
      <c r="AC46" s="454" t="str">
        <f>+IF(ISBLANK(INDEX(WORLDCUP!$AE$101:$AE$147,MATCH(Y46,WORLDCUP!$Z$101:$Z$147,0))),"","( "&amp;INDEX(WORLDCUP!$AE$101:$AE$147,MATCH(Y46,WORLDCUP!$Z$101:$Z$147,0))&amp;" )")</f>
        <v/>
      </c>
      <c r="AD46" s="455">
        <v>96</v>
      </c>
      <c r="AE46" s="456" t="str">
        <f>+MID(INDEX(WORLDCUP!$AA$101:$AA$147,MATCH(AD46,WORLDCUP!$Z$101:$Z$147,0)),1,3)</f>
        <v>W85</v>
      </c>
      <c r="AF46" s="457" t="str">
        <f>+IF(ISBLANK(INDEX(WORLDCUP!$AC$101:$AC$147,MATCH(AD46,WORLDCUP!$Z$101:$Z$147,0))),"",INDEX(WORLDCUP!$AC$101:$AC$147,MATCH(AD46,WORLDCUP!$Z$101:$Z$147,0)))</f>
        <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1</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t="str">
        <f>IF(ISBLANK(INDEX(WORLDCUP!$AC$4:$AC$147,MATCH(A47,WORLDCUP!$AH$4:$AH$147,0))),"",INDEX(WORLDCUP!$AC$4:$AC$147,MATCH(A47,WORLDCUP!$AH$4:$AH$147,0)))</f>
        <v/>
      </c>
      <c r="E47" s="445" t="str">
        <f>IF(ISBLANK(INDEX(WORLDCUP!$AD$4:$AD$147,MATCH(A47,WORLDCUP!$AH$4:$AH$147,0))),"",INDEX(WORLDCUP!$AD$4:$AD$147,MATCH(A47,WORLDCUP!$AH$4:$AH$147,0)))</f>
        <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0</v>
      </c>
      <c r="K47" s="479" t="str">
        <f ca="1">+INDEX(WORLDCUP!$AR$6:$AR$97,MATCH(L47,WORLDCUP!$AI$6:$AI$97,0))&amp;"-"&amp;INDEX(WORLDCUP!$AS$6:$AS$97,MATCH(L47,WORLDCUP!$AI$6:$AI$97,0))</f>
        <v>0-0</v>
      </c>
      <c r="L47" s="181" t="s">
        <v>678</v>
      </c>
      <c r="M47" s="181">
        <v>67</v>
      </c>
      <c r="N47" s="568"/>
      <c r="O47" s="444" t="str">
        <f ca="1">+MID(INDEX(WORLDCUP!$AA$4:$AA$147,MATCH(M47,WORLDCUP!$AH$4:$AH$147,0)),1,3)</f>
        <v>Pan</v>
      </c>
      <c r="P47" s="445" t="str">
        <f>IF(ISBLANK(INDEX(WORLDCUP!$AC$4:$AC$147,MATCH(M47,WORLDCUP!$AH$4:$AH$147,0))),"",INDEX(WORLDCUP!$AC$4:$AC$147,MATCH(M47,WORLDCUP!$AH$4:$AH$147,0)))</f>
        <v/>
      </c>
      <c r="Q47" s="445" t="str">
        <f>IF(ISBLANK(INDEX(WORLDCUP!$AD$4:$AD$147,MATCH(M47,WORLDCUP!$AH$4:$AH$147,0))),"",INDEX(WORLDCUP!$AD$4:$AD$147,MATCH(M47,WORLDCUP!$AH$4:$AH$147,0)))</f>
        <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0</v>
      </c>
      <c r="W47" s="479" t="str">
        <f ca="1">+INDEX(WORLDCUP!$AR$6:$AR$97,MATCH(X47,WORLDCUP!$AI$6:$AI$97,0))&amp;"-"&amp;INDEX(WORLDCUP!$AS$6:$AS$97,MATCH(X47,WORLDCUP!$AI$6:$AI$97,0))</f>
        <v>0-0</v>
      </c>
      <c r="X47" s="181" t="s">
        <v>696</v>
      </c>
      <c r="Y47" s="181"/>
      <c r="Z47" s="425"/>
      <c r="AA47" s="469"/>
      <c r="AB47" s="469"/>
      <c r="AC47" s="470"/>
      <c r="AD47" s="181">
        <v>96</v>
      </c>
      <c r="AE47" s="456" t="str">
        <f>+MID(INDEX(WORLDCUP!$AF$101:$AF$147,MATCH(AD47,WORLDCUP!$Z$101:$Z$147,0)),1,3)</f>
        <v>W87</v>
      </c>
      <c r="AF47" s="457" t="str">
        <f>+IF(ISBLANK(INDEX(WORLDCUP!$AD$101:$AD$147,MATCH(AD47,WORLDCUP!$Z$101:$Z$147,0))),"",INDEX(WORLDCUP!$AD$101:$AD$147,MATCH(AD47,WORLDCUP!$Z$101:$Z$147,0)))</f>
        <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t="str">
        <f>IF(ISBLANK(INDEX(WORLDCUP!$AC$4:$AC$147,MATCH(A48,WORLDCUP!$AH$4:$AH$147,0))),"",INDEX(WORLDCUP!$AC$4:$AC$147,MATCH(A48,WORLDCUP!$AH$4:$AH$147,0)))</f>
        <v/>
      </c>
      <c r="E48" s="488" t="str">
        <f>IF(ISBLANK(INDEX(WORLDCUP!$AD$4:$AD$147,MATCH(A48,WORLDCUP!$AH$4:$AH$147,0))),"",INDEX(WORLDCUP!$AD$4:$AD$147,MATCH(A48,WORLDCUP!$AH$4:$AH$147,0)))</f>
        <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t="str">
        <f>IF(ISBLANK(INDEX(WORLDCUP!$AC$4:$AC$147,MATCH(M48,WORLDCUP!$AH$4:$AH$147,0))),"",INDEX(WORLDCUP!$AC$4:$AC$147,MATCH(M48,WORLDCUP!$AH$4:$AH$147,0)))</f>
        <v/>
      </c>
      <c r="Q48" s="488" t="str">
        <f>IF(ISBLANK(INDEX(WORLDCUP!$AD$4:$AD$147,MATCH(M48,WORLDCUP!$AH$4:$AH$147,0))),"",INDEX(WORLDCUP!$AD$4:$AD$147,MATCH(M48,WORLDCUP!$AH$4:$AH$147,0)))</f>
        <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1K</v>
      </c>
      <c r="AB48" s="472" t="str">
        <f>+IF(ISBLANK(INDEX(WORLDCUP!$AC$101:$AC$147,MATCH(Y48,WORLDCUP!$Z$101:$Z$147,0))),"",INDEX(WORLDCUP!$AC$101:$AC$147,MATCH(Y48,WORLDCUP!$Z$101:$Z$147,0)))</f>
        <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3DEIJL</v>
      </c>
      <c r="AB49" s="481" t="str">
        <f>+IF(ISBLANK(INDEX(WORLDCUP!$AD$101:$AD$147,MATCH(Y49,WORLDCUP!$Z$101:$Z$147,0))),"",INDEX(WORLDCUP!$AD$101:$AD$147,MATCH(Y49,WORLDCUP!$Z$101:$Z$147,0)))</f>
        <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G6120" zoomScaleNormal="100" workbookViewId="0">
      <selection activeCell="ADG6120" sqref="ADG6120"/>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1515</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ug2+FU8lOucAfwQkyehcgfXkwU2Yax454hHJixQrzSsbhBPz2n4rs67AEaii3PFKjyBs9zhW9aNyRKPNOKjHww==" saltValue="pZUaXZ/cLR0e0jYNRsX7i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Iraq</v>
      </c>
      <c r="F2" s="9" t="str">
        <f ca="1">+WORLDCUP!BD63</f>
        <v>Sweden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Iraq</v>
      </c>
      <c r="F3" s="9" t="str">
        <f ca="1">+WORLDCUP!BD61</f>
        <v>Australia</v>
      </c>
      <c r="G3" s="9" t="str">
        <f ca="1">+WORLDCUP!BD67</f>
        <v>Austria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Iraq</v>
      </c>
      <c r="F4" s="9" t="str">
        <f ca="1">+WORLDCUP!BD61</f>
        <v>Australia</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Iraq</v>
      </c>
      <c r="F5" s="9" t="str">
        <f ca="1">+WORLDCUP!BD61</f>
        <v>Australia</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Iraq</v>
      </c>
      <c r="F6" s="9" t="str">
        <f ca="1">+WORLDCUP!BD61</f>
        <v>Australia</v>
      </c>
      <c r="G6" s="9" t="str">
        <f ca="1">+WORLDCUP!BD67</f>
        <v>Austria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Austria</v>
      </c>
      <c r="F7" s="9" t="str">
        <f ca="1">+WORLDCUP!BD61</f>
        <v>Australia</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Iraq</v>
      </c>
      <c r="F8" s="9" t="str">
        <f ca="1">+WORLDCUP!BD61</f>
        <v>Australia</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Austria</v>
      </c>
      <c r="F9" s="9" t="str">
        <f ca="1">+WORLDCUP!BD61</f>
        <v>Australia</v>
      </c>
      <c r="G9" s="9" t="str">
        <f ca="1">+WORLDCUP!BD65</f>
        <v>Saudi Arabia</v>
      </c>
      <c r="H9" s="9" t="str">
        <f ca="1">+WORLDCUP!BD63</f>
        <v>Sweden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Austria</v>
      </c>
      <c r="F10" s="9" t="str">
        <f ca="1">+WORLDCUP!BD61</f>
        <v>Australia</v>
      </c>
      <c r="G10" s="9" t="str">
        <f ca="1">+WORLDCUP!BD65</f>
        <v>Saudi Arabia</v>
      </c>
      <c r="H10" s="9" t="str">
        <f ca="1">+WORLDCUP!BD63</f>
        <v>Sweden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Iraq</v>
      </c>
      <c r="F11" s="9" t="str">
        <f ca="1">+WORLDCUP!BD60</f>
        <v>Haiti</v>
      </c>
      <c r="G11" s="9" t="str">
        <f ca="1">+WORLDCUP!BD67</f>
        <v>Austria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Iraq</v>
      </c>
      <c r="F12" s="9" t="str">
        <f ca="1">+WORLDCUP!BD60</f>
        <v>Haiti</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Iraq</v>
      </c>
      <c r="F13" s="9" t="str">
        <f ca="1">+WORLDCUP!BD60</f>
        <v>Haiti</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Iraq</v>
      </c>
      <c r="F14" s="9" t="str">
        <f ca="1">+WORLDCUP!BD60</f>
        <v>Haiti</v>
      </c>
      <c r="G14" s="9" t="str">
        <f ca="1">+WORLDCUP!BD67</f>
        <v>Austria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Austria</v>
      </c>
      <c r="F15" s="9" t="str">
        <f ca="1">+WORLDCUP!BD60</f>
        <v>Haiti</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Iraq</v>
      </c>
      <c r="F16" s="9" t="str">
        <f ca="1">+WORLDCUP!BD60</f>
        <v>Haiti</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Austria</v>
      </c>
      <c r="F17" s="9" t="str">
        <f ca="1">+WORLDCUP!BD60</f>
        <v>Haiti</v>
      </c>
      <c r="G17" s="9" t="str">
        <f ca="1">+WORLDCUP!BD65</f>
        <v>Saudi Arabia</v>
      </c>
      <c r="H17" s="9" t="str">
        <f ca="1">+WORLDCUP!BD63</f>
        <v>Sweden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Austria</v>
      </c>
      <c r="F18" s="9" t="str">
        <f ca="1">+WORLDCUP!BD60</f>
        <v>Haiti</v>
      </c>
      <c r="G18" s="9" t="str">
        <f ca="1">+WORLDCUP!BD65</f>
        <v>Saudi Arabia</v>
      </c>
      <c r="H18" s="9" t="str">
        <f ca="1">+WORLDCUP!BD63</f>
        <v>Sweden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Iraq</v>
      </c>
      <c r="F19" s="9" t="str">
        <f ca="1">+WORLDCUP!BD60</f>
        <v>Haiti</v>
      </c>
      <c r="G19" s="9" t="str">
        <f ca="1">+WORLDCUP!BD67</f>
        <v>Austria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Haiti</v>
      </c>
      <c r="D20" s="9" t="str">
        <f ca="1">+WORLDCUP!BD67</f>
        <v>Austria</v>
      </c>
      <c r="E20" s="9" t="str">
        <f ca="1">+WORLDCUP!BD66</f>
        <v>Iraq</v>
      </c>
      <c r="F20" s="9" t="str">
        <f ca="1">+WORLDCUP!BD61</f>
        <v>Australia</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Haiti</v>
      </c>
      <c r="D21" s="9" t="str">
        <f ca="1">+WORLDCUP!BD64</f>
        <v>Iran</v>
      </c>
      <c r="E21" s="9" t="str">
        <f ca="1">+WORLDCUP!BD66</f>
        <v>Iraq</v>
      </c>
      <c r="F21" s="9" t="str">
        <f ca="1">+WORLDCUP!BD61</f>
        <v>Australia</v>
      </c>
      <c r="G21" s="9" t="str">
        <f ca="1">+WORLDCUP!BD67</f>
        <v>Austria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Haiti</v>
      </c>
      <c r="D22" s="9" t="str">
        <f ca="1">+WORLDCUP!BD64</f>
        <v>Iran</v>
      </c>
      <c r="E22" s="9" t="str">
        <f ca="1">+WORLDCUP!BD67</f>
        <v>Austria</v>
      </c>
      <c r="F22" s="9" t="str">
        <f ca="1">+WORLDCUP!BD61</f>
        <v>Australia</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Haiti</v>
      </c>
      <c r="D23" s="9" t="str">
        <f ca="1">+WORLDCUP!BD64</f>
        <v>Iran</v>
      </c>
      <c r="E23" s="9" t="str">
        <f ca="1">+WORLDCUP!BD66</f>
        <v>Iraq</v>
      </c>
      <c r="F23" s="9" t="str">
        <f ca="1">+WORLDCUP!BD61</f>
        <v>Australia</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Haiti</v>
      </c>
      <c r="D24" s="9" t="str">
        <f ca="1">+WORLDCUP!BD64</f>
        <v>Iran</v>
      </c>
      <c r="E24" s="9" t="str">
        <f ca="1">+WORLDCUP!BD67</f>
        <v>Austria</v>
      </c>
      <c r="F24" s="9" t="str">
        <f ca="1">+WORLDCUP!BD61</f>
        <v>Australia</v>
      </c>
      <c r="G24" s="9" t="str">
        <f ca="1">+WORLDCUP!BD65</f>
        <v>Saudi Arabia</v>
      </c>
      <c r="H24" s="9" t="str">
        <f ca="1">+WORLDCUP!BD63</f>
        <v>Sweden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Haiti</v>
      </c>
      <c r="D25" s="9" t="str">
        <f ca="1">+WORLDCUP!BD64</f>
        <v>Iran</v>
      </c>
      <c r="E25" s="9" t="str">
        <f ca="1">+WORLDCUP!BD67</f>
        <v>Austria</v>
      </c>
      <c r="F25" s="9" t="str">
        <f ca="1">+WORLDCUP!BD61</f>
        <v>Australia</v>
      </c>
      <c r="G25" s="9" t="str">
        <f ca="1">+WORLDCUP!BD65</f>
        <v>Saudi Arabia</v>
      </c>
      <c r="H25" s="9" t="str">
        <f ca="1">+WORLDCUP!BD63</f>
        <v>Sweden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Iraq</v>
      </c>
      <c r="F26" s="9" t="str">
        <f ca="1">+WORLDCUP!BD60</f>
        <v>Haiti</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Iraq</v>
      </c>
      <c r="F27" s="9" t="str">
        <f ca="1">+WORLDCUP!BD60</f>
        <v>Haiti</v>
      </c>
      <c r="G27" s="9" t="str">
        <f ca="1">+WORLDCUP!BD67</f>
        <v>Austria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Austria</v>
      </c>
      <c r="F28" s="9" t="str">
        <f ca="1">+WORLDCUP!BD60</f>
        <v>Haiti</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Iraq</v>
      </c>
      <c r="F29" s="9" t="str">
        <f ca="1">+WORLDCUP!BD60</f>
        <v>Haiti</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Austria</v>
      </c>
      <c r="F30" s="9" t="str">
        <f ca="1">+WORLDCUP!BD60</f>
        <v>Haiti</v>
      </c>
      <c r="G30" s="9" t="str">
        <f ca="1">+WORLDCUP!BD65</f>
        <v>Saudi Arabia</v>
      </c>
      <c r="H30" s="9" t="str">
        <f ca="1">+WORLDCUP!BD61</f>
        <v>Australia</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Austria</v>
      </c>
      <c r="F31" s="9" t="str">
        <f ca="1">+WORLDCUP!BD60</f>
        <v>Haiti</v>
      </c>
      <c r="G31" s="9" t="str">
        <f ca="1">+WORLDCUP!BD65</f>
        <v>Saudi Arabia</v>
      </c>
      <c r="H31" s="9" t="str">
        <f ca="1">+WORLDCUP!BD61</f>
        <v>Australia</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Haiti</v>
      </c>
      <c r="D32" s="9" t="str">
        <f ca="1">+WORLDCUP!BD67</f>
        <v>Austria</v>
      </c>
      <c r="E32" s="9" t="str">
        <f ca="1">+WORLDCUP!BD62</f>
        <v>Ivory Coast</v>
      </c>
      <c r="F32" s="9" t="str">
        <f ca="1">+WORLDCUP!BD61</f>
        <v>Australia</v>
      </c>
      <c r="G32" s="9" t="str">
        <f ca="1">+WORLDCUP!BD66</f>
        <v>Iraq</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Haiti</v>
      </c>
      <c r="D33" s="9" t="str">
        <f ca="1">+WORLDCUP!BD67</f>
        <v>Austria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Haiti</v>
      </c>
      <c r="D34" s="9" t="str">
        <f ca="1">+WORLDCUP!BD62</f>
        <v>Ivory Coast</v>
      </c>
      <c r="E34" s="9" t="str">
        <f ca="1">+WORLDCUP!BD66</f>
        <v>Iraq</v>
      </c>
      <c r="F34" s="9" t="str">
        <f ca="1">+WORLDCUP!BD61</f>
        <v>Australia</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Haiti</v>
      </c>
      <c r="D35" s="9" t="str">
        <f ca="1">+WORLDCUP!BD67</f>
        <v>Austria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Haiti</v>
      </c>
      <c r="D36" s="9" t="str">
        <f ca="1">+WORLDCUP!BD67</f>
        <v>Austria</v>
      </c>
      <c r="E36" s="9" t="str">
        <f ca="1">+WORLDCUP!BD62</f>
        <v>Ivory Coast</v>
      </c>
      <c r="F36" s="9" t="str">
        <f ca="1">+WORLDCUP!BD61</f>
        <v>Australia</v>
      </c>
      <c r="G36" s="9" t="str">
        <f ca="1">+WORLDCUP!BD65</f>
        <v>Saudi Arabia</v>
      </c>
      <c r="H36" s="9" t="str">
        <f ca="1">+WORLDCUP!BD63</f>
        <v>Sweden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Haiti</v>
      </c>
      <c r="D37" s="9" t="str">
        <f ca="1">+WORLDCUP!BD64</f>
        <v>Iran</v>
      </c>
      <c r="E37" s="9" t="str">
        <f ca="1">+WORLDCUP!BD62</f>
        <v>Ivory Coast</v>
      </c>
      <c r="F37" s="9" t="str">
        <f ca="1">+WORLDCUP!BD61</f>
        <v>Australia</v>
      </c>
      <c r="G37" s="9" t="str">
        <f ca="1">+WORLDCUP!BD67</f>
        <v>Austria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Haiti</v>
      </c>
      <c r="D38" s="9" t="str">
        <f ca="1">+WORLDCUP!BD64</f>
        <v>Iran</v>
      </c>
      <c r="E38" s="9" t="str">
        <f ca="1">+WORLDCUP!BD62</f>
        <v>Ivory Coast</v>
      </c>
      <c r="F38" s="9" t="str">
        <f ca="1">+WORLDCUP!BD61</f>
        <v>Australia</v>
      </c>
      <c r="G38" s="9" t="str">
        <f ca="1">+WORLDCUP!BD66</f>
        <v>Iraq</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Haiti</v>
      </c>
      <c r="D39" s="9" t="str">
        <f ca="1">+WORLDCUP!BD64</f>
        <v>Iran</v>
      </c>
      <c r="E39" s="9" t="str">
        <f ca="1">+WORLDCUP!BD62</f>
        <v>Ivory Coast</v>
      </c>
      <c r="F39" s="9" t="str">
        <f ca="1">+WORLDCUP!BD61</f>
        <v>Australia</v>
      </c>
      <c r="G39" s="9" t="str">
        <f ca="1">+WORLDCUP!BD67</f>
        <v>Austria</v>
      </c>
      <c r="H39" s="9" t="str">
        <f ca="1">+WORLDCUP!BD63</f>
        <v>Sweden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Haiti</v>
      </c>
      <c r="D40" s="9" t="str">
        <f ca="1">+WORLDCUP!BD64</f>
        <v>Iran</v>
      </c>
      <c r="E40" s="9" t="str">
        <f ca="1">+WORLDCUP!BD62</f>
        <v>Ivory Coast</v>
      </c>
      <c r="F40" s="9" t="str">
        <f ca="1">+WORLDCUP!BD61</f>
        <v>Australia</v>
      </c>
      <c r="G40" s="9" t="str">
        <f ca="1">+WORLDCUP!BD67</f>
        <v>Austria</v>
      </c>
      <c r="H40" s="9" t="str">
        <f ca="1">+WORLDCUP!BD63</f>
        <v>Sweden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Haiti</v>
      </c>
      <c r="D41" s="9" t="str">
        <f ca="1">+WORLDCUP!BD64</f>
        <v>Iran</v>
      </c>
      <c r="E41" s="9" t="str">
        <f ca="1">+WORLDCUP!BD62</f>
        <v>Ivory Coast</v>
      </c>
      <c r="F41" s="9" t="str">
        <f ca="1">+WORLDCUP!BD61</f>
        <v>Australia</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Haiti</v>
      </c>
      <c r="D42" s="9" t="str">
        <f ca="1">+WORLDCUP!BD64</f>
        <v>Iran</v>
      </c>
      <c r="E42" s="9" t="str">
        <f ca="1">+WORLDCUP!BD67</f>
        <v>Austria</v>
      </c>
      <c r="F42" s="9" t="str">
        <f ca="1">+WORLDCUP!BD61</f>
        <v>Australia</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Haiti</v>
      </c>
      <c r="D43" s="9" t="str">
        <f ca="1">+WORLDCUP!BD64</f>
        <v>Iran</v>
      </c>
      <c r="E43" s="9" t="str">
        <f ca="1">+WORLDCUP!BD67</f>
        <v>Austria</v>
      </c>
      <c r="F43" s="9" t="str">
        <f ca="1">+WORLDCUP!BD61</f>
        <v>Australia</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Haiti</v>
      </c>
      <c r="D44" s="9" t="str">
        <f ca="1">+WORLDCUP!BD64</f>
        <v>Iran</v>
      </c>
      <c r="E44" s="9" t="str">
        <f ca="1">+WORLDCUP!BD62</f>
        <v>Ivory Coast</v>
      </c>
      <c r="F44" s="9" t="str">
        <f ca="1">+WORLDCUP!BD61</f>
        <v>Australia</v>
      </c>
      <c r="G44" s="9" t="str">
        <f ca="1">+WORLDCUP!BD65</f>
        <v>Saudi Arabia</v>
      </c>
      <c r="H44" s="9" t="str">
        <f ca="1">+WORLDCUP!BD63</f>
        <v>Sweden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Haiti</v>
      </c>
      <c r="D45" s="9" t="str">
        <f ca="1">+WORLDCUP!BD64</f>
        <v>Iran</v>
      </c>
      <c r="E45" s="9" t="str">
        <f ca="1">+WORLDCUP!BD62</f>
        <v>Ivory Coast</v>
      </c>
      <c r="F45" s="9" t="str">
        <f ca="1">+WORLDCUP!BD61</f>
        <v>Australia</v>
      </c>
      <c r="G45" s="9" t="str">
        <f ca="1">+WORLDCUP!BD65</f>
        <v>Saudi Arabia</v>
      </c>
      <c r="H45" s="9" t="str">
        <f ca="1">+WORLDCUP!BD63</f>
        <v>Sweden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Haiti</v>
      </c>
      <c r="D46" s="9" t="str">
        <f ca="1">+WORLDCUP!BD64</f>
        <v>Iran</v>
      </c>
      <c r="E46" s="9" t="str">
        <f ca="1">+WORLDCUP!BD67</f>
        <v>Austria</v>
      </c>
      <c r="F46" s="9" t="str">
        <f ca="1">+WORLDCUP!BD61</f>
        <v>Australia</v>
      </c>
      <c r="G46" s="9" t="str">
        <f ca="1">+WORLDCUP!BD65</f>
        <v>Saudi Arabia</v>
      </c>
      <c r="H46" s="9" t="str">
        <f ca="1">+WORLDCUP!BD63</f>
        <v>Sweden</v>
      </c>
      <c r="I46" s="9" t="str">
        <f ca="1">+WORLDCUP!BD62</f>
        <v>Ivory Coast</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Qatar</v>
      </c>
      <c r="F47" s="9" t="str">
        <f ca="1">+WORLDCUP!BD63</f>
        <v>Sweden</v>
      </c>
      <c r="G47" s="9" t="str">
        <f ca="1">+WORLDCUP!BD66</f>
        <v>Iraq</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Iraq</v>
      </c>
      <c r="F48" s="9" t="str">
        <f ca="1">+WORLDCUP!BD59</f>
        <v>Qatar</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Qatar</v>
      </c>
      <c r="F49" s="9" t="str">
        <f ca="1">+WORLDCUP!BD63</f>
        <v>Sweden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Qatar</v>
      </c>
      <c r="F50" s="9" t="str">
        <f ca="1">+WORLDCUP!BD63</f>
        <v>Sweden</v>
      </c>
      <c r="G50" s="9" t="str">
        <f ca="1">+WORLDCUP!BD66</f>
        <v>Iraq</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Qatar</v>
      </c>
      <c r="F51" s="9" t="str">
        <f ca="1">+WORLDCUP!BD63</f>
        <v>Sweden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Qatar</v>
      </c>
      <c r="F52" s="9" t="str">
        <f ca="1">+WORLDCUP!BD63</f>
        <v>Sweden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Qatar</v>
      </c>
      <c r="F53" s="9" t="str">
        <f ca="1">+WORLDCUP!BD63</f>
        <v>Sweden</v>
      </c>
      <c r="G53" s="9" t="str">
        <f ca="1">+WORLDCUP!BD65</f>
        <v>Saudi Arabia</v>
      </c>
      <c r="H53" s="9" t="str">
        <f ca="1">+WORLDCUP!BD64</f>
        <v>Iran</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Qatar</v>
      </c>
      <c r="F54" s="9" t="str">
        <f ca="1">+WORLDCUP!BD63</f>
        <v>Sweden</v>
      </c>
      <c r="G54" s="9" t="str">
        <f ca="1">+WORLDCUP!BD65</f>
        <v>Saudi Arabia</v>
      </c>
      <c r="H54" s="9" t="str">
        <f ca="1">+WORLDCUP!BD64</f>
        <v>Iran</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Qatar</v>
      </c>
      <c r="F55" s="9" t="str">
        <f ca="1">+WORLDCUP!BD61</f>
        <v>Australia</v>
      </c>
      <c r="G55" s="9" t="str">
        <f ca="1">+WORLDCUP!BD66</f>
        <v>Iraq</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Qatar</v>
      </c>
      <c r="F56" s="9" t="str">
        <f ca="1">+WORLDCUP!BD61</f>
        <v>Australia</v>
      </c>
      <c r="G56" s="9" t="str">
        <f ca="1">+WORLDCUP!BD66</f>
        <v>Iraq</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Iran</v>
      </c>
      <c r="E57" s="9" t="str">
        <f ca="1">+WORLDCUP!BD59</f>
        <v>Qatar</v>
      </c>
      <c r="F57" s="9" t="str">
        <f ca="1">+WORLDCUP!BD61</f>
        <v>Australia</v>
      </c>
      <c r="G57" s="9" t="str">
        <f ca="1">+WORLDCUP!BD67</f>
        <v>Austria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Qatar</v>
      </c>
      <c r="F58" s="9" t="str">
        <f ca="1">+WORLDCUP!BD61</f>
        <v>Australia</v>
      </c>
      <c r="G58" s="9" t="str">
        <f ca="1">+WORLDCUP!BD67</f>
        <v>Austria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Qatar</v>
      </c>
      <c r="F59" s="9" t="str">
        <f ca="1">+WORLDCUP!BD61</f>
        <v>Australia</v>
      </c>
      <c r="G59" s="9" t="str">
        <f ca="1">+WORLDCUP!BD66</f>
        <v>Iraq</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Qatar</v>
      </c>
      <c r="F60" s="9" t="str">
        <f ca="1">+WORLDCUP!BD61</f>
        <v>Australia</v>
      </c>
      <c r="G60" s="9" t="str">
        <f ca="1">+WORLDCUP!BD67</f>
        <v>Austria</v>
      </c>
      <c r="H60" s="9" t="str">
        <f ca="1">+WORLDCUP!BD63</f>
        <v>Sweden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Qatar</v>
      </c>
      <c r="F61" s="9" t="str">
        <f ca="1">+WORLDCUP!BD61</f>
        <v>Australia</v>
      </c>
      <c r="G61" s="9" t="str">
        <f ca="1">+WORLDCUP!BD67</f>
        <v>Austria</v>
      </c>
      <c r="H61" s="9" t="str">
        <f ca="1">+WORLDCUP!BD63</f>
        <v>Sweden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Qatar</v>
      </c>
      <c r="F62" s="9" t="str">
        <f ca="1">+WORLDCUP!BD61</f>
        <v>Australia</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Qatar</v>
      </c>
      <c r="F63" s="9" t="str">
        <f ca="1">+WORLDCUP!BD61</f>
        <v>Australia</v>
      </c>
      <c r="G63" s="9" t="str">
        <f ca="1">+WORLDCUP!BD66</f>
        <v>Iraq</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Qatar</v>
      </c>
      <c r="F64" s="9" t="str">
        <f ca="1">+WORLDCUP!BD61</f>
        <v>Australia</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Qatar</v>
      </c>
      <c r="F65" s="9" t="str">
        <f ca="1">+WORLDCUP!BD61</f>
        <v>Australia</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Qatar</v>
      </c>
      <c r="F66" s="9" t="str">
        <f ca="1">+WORLDCUP!BD61</f>
        <v>Australia</v>
      </c>
      <c r="G66" s="9" t="str">
        <f ca="1">+WORLDCUP!BD65</f>
        <v>Saudi Arabia</v>
      </c>
      <c r="H66" s="9" t="str">
        <f ca="1">+WORLDCUP!BD64</f>
        <v>Iran</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Qatar</v>
      </c>
      <c r="F67" s="9" t="str">
        <f ca="1">+WORLDCUP!BD61</f>
        <v>Australia</v>
      </c>
      <c r="G67" s="9" t="str">
        <f ca="1">+WORLDCUP!BD65</f>
        <v>Saudi Arabia</v>
      </c>
      <c r="H67" s="9" t="str">
        <f ca="1">+WORLDCUP!BD64</f>
        <v>Iran</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Qatar</v>
      </c>
      <c r="F68" s="9" t="str">
        <f ca="1">+WORLDCUP!BD61</f>
        <v>Australia</v>
      </c>
      <c r="G68" s="9" t="str">
        <f ca="1">+WORLDCUP!BD66</f>
        <v>Iraq</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Qatar</v>
      </c>
      <c r="F69" s="9" t="str">
        <f ca="1">+WORLDCUP!BD61</f>
        <v>Australia</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Iraq</v>
      </c>
      <c r="E70" s="9" t="str">
        <f ca="1">+WORLDCUP!BD59</f>
        <v>Qatar</v>
      </c>
      <c r="F70" s="9" t="str">
        <f ca="1">+WORLDCUP!BD61</f>
        <v>Australia</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Qatar</v>
      </c>
      <c r="F71" s="9" t="str">
        <f ca="1">+WORLDCUP!BD61</f>
        <v>Australia</v>
      </c>
      <c r="G71" s="9" t="str">
        <f ca="1">+WORLDCUP!BD65</f>
        <v>Saudi Arabia</v>
      </c>
      <c r="H71" s="9" t="str">
        <f ca="1">+WORLDCUP!BD63</f>
        <v>Sweden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Qatar</v>
      </c>
      <c r="F72" s="9" t="str">
        <f ca="1">+WORLDCUP!BD61</f>
        <v>Australia</v>
      </c>
      <c r="G72" s="9" t="str">
        <f ca="1">+WORLDCUP!BD65</f>
        <v>Saudi Arabia</v>
      </c>
      <c r="H72" s="9" t="str">
        <f ca="1">+WORLDCUP!BD63</f>
        <v>Sweden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Qatar</v>
      </c>
      <c r="F73" s="9" t="str">
        <f ca="1">+WORLDCUP!BD61</f>
        <v>Australia</v>
      </c>
      <c r="G73" s="9" t="str">
        <f ca="1">+WORLDCUP!BD67</f>
        <v>Austria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Qatar</v>
      </c>
      <c r="F74" s="9" t="str">
        <f ca="1">+WORLDCUP!BD61</f>
        <v>Australia</v>
      </c>
      <c r="G74" s="9" t="str">
        <f ca="1">+WORLDCUP!BD66</f>
        <v>Iraq</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Qatar</v>
      </c>
      <c r="F75" s="9" t="str">
        <f ca="1">+WORLDCUP!BD61</f>
        <v>Australia</v>
      </c>
      <c r="G75" s="9" t="str">
        <f ca="1">+WORLDCUP!BD67</f>
        <v>Austria</v>
      </c>
      <c r="H75" s="9" t="str">
        <f ca="1">+WORLDCUP!BD63</f>
        <v>Sweden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Qatar</v>
      </c>
      <c r="F76" s="9" t="str">
        <f ca="1">+WORLDCUP!BD61</f>
        <v>Australia</v>
      </c>
      <c r="G76" s="9" t="str">
        <f ca="1">+WORLDCUP!BD67</f>
        <v>Austria</v>
      </c>
      <c r="H76" s="9" t="str">
        <f ca="1">+WORLDCUP!BD63</f>
        <v>Sweden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Qatar</v>
      </c>
      <c r="F77" s="9" t="str">
        <f ca="1">+WORLDCUP!BD61</f>
        <v>Australia</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Qatar</v>
      </c>
      <c r="F78" s="9" t="str">
        <f ca="1">+WORLDCUP!BD61</f>
        <v>Australia</v>
      </c>
      <c r="G78" s="9" t="str">
        <f ca="1">+WORLDCUP!BD67</f>
        <v>Austria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Qatar</v>
      </c>
      <c r="F79" s="9" t="str">
        <f ca="1">+WORLDCUP!BD61</f>
        <v>Australia</v>
      </c>
      <c r="G79" s="9" t="str">
        <f ca="1">+WORLDCUP!BD67</f>
        <v>Austria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Qatar</v>
      </c>
      <c r="F80" s="9" t="str">
        <f ca="1">+WORLDCUP!BD61</f>
        <v>Australia</v>
      </c>
      <c r="G80" s="9" t="str">
        <f ca="1">+WORLDCUP!BD65</f>
        <v>Saudi Arabia</v>
      </c>
      <c r="H80" s="9" t="str">
        <f ca="1">+WORLDCUP!BD63</f>
        <v>Sweden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Qatar</v>
      </c>
      <c r="F81" s="9" t="str">
        <f ca="1">+WORLDCUP!BD61</f>
        <v>Australia</v>
      </c>
      <c r="G81" s="9" t="str">
        <f ca="1">+WORLDCUP!BD65</f>
        <v>Saudi Arabia</v>
      </c>
      <c r="H81" s="9" t="str">
        <f ca="1">+WORLDCUP!BD63</f>
        <v>Sweden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Qatar</v>
      </c>
      <c r="F82" s="9" t="str">
        <f ca="1">+WORLDCUP!BD61</f>
        <v>Australia</v>
      </c>
      <c r="G82" s="9" t="str">
        <f ca="1">+WORLDCUP!BD67</f>
        <v>Austria</v>
      </c>
      <c r="H82" s="9" t="str">
        <f ca="1">+WORLDCUP!BD63</f>
        <v>Sweden</v>
      </c>
      <c r="I82" s="9" t="str">
        <f ca="1">+WORLDCUP!BD62</f>
        <v>Ivory Coast</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Qatar</v>
      </c>
      <c r="F83" s="9" t="str">
        <f ca="1">+WORLDCUP!BD60</f>
        <v>Haiti</v>
      </c>
      <c r="G83" s="9" t="str">
        <f ca="1">+WORLDCUP!BD66</f>
        <v>Iraq</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Qatar</v>
      </c>
      <c r="F84" s="9" t="str">
        <f ca="1">+WORLDCUP!BD60</f>
        <v>Haiti</v>
      </c>
      <c r="G84" s="9" t="str">
        <f ca="1">+WORLDCUP!BD66</f>
        <v>Iraq</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Iran</v>
      </c>
      <c r="E85" s="9" t="str">
        <f ca="1">+WORLDCUP!BD59</f>
        <v>Qatar</v>
      </c>
      <c r="F85" s="9" t="str">
        <f ca="1">+WORLDCUP!BD60</f>
        <v>Haiti</v>
      </c>
      <c r="G85" s="9" t="str">
        <f ca="1">+WORLDCUP!BD67</f>
        <v>Austria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Qatar</v>
      </c>
      <c r="F86" s="9" t="str">
        <f ca="1">+WORLDCUP!BD60</f>
        <v>Haiti</v>
      </c>
      <c r="G86" s="9" t="str">
        <f ca="1">+WORLDCUP!BD67</f>
        <v>Austria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Qatar</v>
      </c>
      <c r="F87" s="9" t="str">
        <f ca="1">+WORLDCUP!BD60</f>
        <v>Haiti</v>
      </c>
      <c r="G87" s="9" t="str">
        <f ca="1">+WORLDCUP!BD66</f>
        <v>Iraq</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Qatar</v>
      </c>
      <c r="F88" s="9" t="str">
        <f ca="1">+WORLDCUP!BD60</f>
        <v>Haiti</v>
      </c>
      <c r="G88" s="9" t="str">
        <f ca="1">+WORLDCUP!BD67</f>
        <v>Austria</v>
      </c>
      <c r="H88" s="9" t="str">
        <f ca="1">+WORLDCUP!BD63</f>
        <v>Sweden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Qatar</v>
      </c>
      <c r="F89" s="9" t="str">
        <f ca="1">+WORLDCUP!BD60</f>
        <v>Haiti</v>
      </c>
      <c r="G89" s="9" t="str">
        <f ca="1">+WORLDCUP!BD67</f>
        <v>Austria</v>
      </c>
      <c r="H89" s="9" t="str">
        <f ca="1">+WORLDCUP!BD63</f>
        <v>Sweden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Qatar</v>
      </c>
      <c r="F90" s="9" t="str">
        <f ca="1">+WORLDCUP!BD60</f>
        <v>Haiti</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Qatar</v>
      </c>
      <c r="F91" s="9" t="str">
        <f ca="1">+WORLDCUP!BD60</f>
        <v>Haiti</v>
      </c>
      <c r="G91" s="9" t="str">
        <f ca="1">+WORLDCUP!BD66</f>
        <v>Iraq</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Qatar</v>
      </c>
      <c r="F92" s="9" t="str">
        <f ca="1">+WORLDCUP!BD60</f>
        <v>Haiti</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Qatar</v>
      </c>
      <c r="F93" s="9" t="str">
        <f ca="1">+WORLDCUP!BD60</f>
        <v>Haiti</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Qatar</v>
      </c>
      <c r="F94" s="9" t="str">
        <f ca="1">+WORLDCUP!BD60</f>
        <v>Haiti</v>
      </c>
      <c r="G94" s="9" t="str">
        <f ca="1">+WORLDCUP!BD65</f>
        <v>Saudi Arabia</v>
      </c>
      <c r="H94" s="9" t="str">
        <f ca="1">+WORLDCUP!BD64</f>
        <v>Iran</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Qatar</v>
      </c>
      <c r="F95" s="9" t="str">
        <f ca="1">+WORLDCUP!BD60</f>
        <v>Haiti</v>
      </c>
      <c r="G95" s="9" t="str">
        <f ca="1">+WORLDCUP!BD65</f>
        <v>Saudi Arabia</v>
      </c>
      <c r="H95" s="9" t="str">
        <f ca="1">+WORLDCUP!BD64</f>
        <v>Iran</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Qatar</v>
      </c>
      <c r="F96" s="9" t="str">
        <f ca="1">+WORLDCUP!BD60</f>
        <v>Haiti</v>
      </c>
      <c r="G96" s="9" t="str">
        <f ca="1">+WORLDCUP!BD66</f>
        <v>Iraq</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Qatar</v>
      </c>
      <c r="F97" s="9" t="str">
        <f ca="1">+WORLDCUP!BD60</f>
        <v>Haiti</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Iraq</v>
      </c>
      <c r="E98" s="9" t="str">
        <f ca="1">+WORLDCUP!BD59</f>
        <v>Qatar</v>
      </c>
      <c r="F98" s="9" t="str">
        <f ca="1">+WORLDCUP!BD60</f>
        <v>Haiti</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Qatar</v>
      </c>
      <c r="F99" s="9" t="str">
        <f ca="1">+WORLDCUP!BD60</f>
        <v>Haiti</v>
      </c>
      <c r="G99" s="9" t="str">
        <f ca="1">+WORLDCUP!BD65</f>
        <v>Saudi Arabia</v>
      </c>
      <c r="H99" s="9" t="str">
        <f ca="1">+WORLDCUP!BD63</f>
        <v>Sweden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Qatar</v>
      </c>
      <c r="F100" s="9" t="str">
        <f ca="1">+WORLDCUP!BD60</f>
        <v>Haiti</v>
      </c>
      <c r="G100" s="9" t="str">
        <f ca="1">+WORLDCUP!BD65</f>
        <v>Saudi Arabia</v>
      </c>
      <c r="H100" s="9" t="str">
        <f ca="1">+WORLDCUP!BD63</f>
        <v>Sweden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Qatar</v>
      </c>
      <c r="F101" s="9" t="str">
        <f ca="1">+WORLDCUP!BD60</f>
        <v>Haiti</v>
      </c>
      <c r="G101" s="9" t="str">
        <f ca="1">+WORLDCUP!BD67</f>
        <v>Austria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Qatar</v>
      </c>
      <c r="F102" s="9" t="str">
        <f ca="1">+WORLDCUP!BD60</f>
        <v>Haiti</v>
      </c>
      <c r="G102" s="9" t="str">
        <f ca="1">+WORLDCUP!BD66</f>
        <v>Iraq</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Qatar</v>
      </c>
      <c r="F103" s="9" t="str">
        <f ca="1">+WORLDCUP!BD60</f>
        <v>Haiti</v>
      </c>
      <c r="G103" s="9" t="str">
        <f ca="1">+WORLDCUP!BD67</f>
        <v>Austria</v>
      </c>
      <c r="H103" s="9" t="str">
        <f ca="1">+WORLDCUP!BD63</f>
        <v>Sweden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Qatar</v>
      </c>
      <c r="F104" s="9" t="str">
        <f ca="1">+WORLDCUP!BD60</f>
        <v>Haiti</v>
      </c>
      <c r="G104" s="9" t="str">
        <f ca="1">+WORLDCUP!BD67</f>
        <v>Austria</v>
      </c>
      <c r="H104" s="9" t="str">
        <f ca="1">+WORLDCUP!BD63</f>
        <v>Sweden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Qatar</v>
      </c>
      <c r="F105" s="9" t="str">
        <f ca="1">+WORLDCUP!BD60</f>
        <v>Haiti</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Qatar</v>
      </c>
      <c r="F106" s="9" t="str">
        <f ca="1">+WORLDCUP!BD60</f>
        <v>Haiti</v>
      </c>
      <c r="G106" s="9" t="str">
        <f ca="1">+WORLDCUP!BD67</f>
        <v>Austria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Qatar</v>
      </c>
      <c r="F107" s="9" t="str">
        <f ca="1">+WORLDCUP!BD60</f>
        <v>Haiti</v>
      </c>
      <c r="G107" s="9" t="str">
        <f ca="1">+WORLDCUP!BD67</f>
        <v>Austria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Qatar</v>
      </c>
      <c r="F108" s="9" t="str">
        <f ca="1">+WORLDCUP!BD60</f>
        <v>Haiti</v>
      </c>
      <c r="G108" s="9" t="str">
        <f ca="1">+WORLDCUP!BD65</f>
        <v>Saudi Arabia</v>
      </c>
      <c r="H108" s="9" t="str">
        <f ca="1">+WORLDCUP!BD63</f>
        <v>Sweden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Qatar</v>
      </c>
      <c r="F109" s="9" t="str">
        <f ca="1">+WORLDCUP!BD60</f>
        <v>Haiti</v>
      </c>
      <c r="G109" s="9" t="str">
        <f ca="1">+WORLDCUP!BD65</f>
        <v>Saudi Arabia</v>
      </c>
      <c r="H109" s="9" t="str">
        <f ca="1">+WORLDCUP!BD63</f>
        <v>Sweden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Qatar</v>
      </c>
      <c r="F110" s="9" t="str">
        <f ca="1">+WORLDCUP!BD60</f>
        <v>Haiti</v>
      </c>
      <c r="G110" s="9" t="str">
        <f ca="1">+WORLDCUP!BD67</f>
        <v>Austria</v>
      </c>
      <c r="H110" s="9" t="str">
        <f ca="1">+WORLDCUP!BD63</f>
        <v>Sweden</v>
      </c>
      <c r="I110" s="9" t="str">
        <f ca="1">+WORLDCUP!BD62</f>
        <v>Ivory Coast</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Qatar</v>
      </c>
      <c r="F111" s="9" t="str">
        <f ca="1">+WORLDCUP!BD60</f>
        <v>Haiti</v>
      </c>
      <c r="G111" s="9" t="str">
        <f ca="1">+WORLDCUP!BD66</f>
        <v>Iraq</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Iran</v>
      </c>
      <c r="E112" s="9" t="str">
        <f ca="1">+WORLDCUP!BD59</f>
        <v>Qatar</v>
      </c>
      <c r="F112" s="9" t="str">
        <f ca="1">+WORLDCUP!BD60</f>
        <v>Haiti</v>
      </c>
      <c r="G112" s="9" t="str">
        <f ca="1">+WORLDCUP!BD67</f>
        <v>Austria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Qatar</v>
      </c>
      <c r="F113" s="9" t="str">
        <f ca="1">+WORLDCUP!BD60</f>
        <v>Haiti</v>
      </c>
      <c r="G113" s="9" t="str">
        <f ca="1">+WORLDCUP!BD67</f>
        <v>Austria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Qatar</v>
      </c>
      <c r="F114" s="9" t="str">
        <f ca="1">+WORLDCUP!BD60</f>
        <v>Haiti</v>
      </c>
      <c r="G114" s="9" t="str">
        <f ca="1">+WORLDCUP!BD66</f>
        <v>Iraq</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Qatar</v>
      </c>
      <c r="F115" s="9" t="str">
        <f ca="1">+WORLDCUP!BD60</f>
        <v>Haiti</v>
      </c>
      <c r="G115" s="9" t="str">
        <f ca="1">+WORLDCUP!BD67</f>
        <v>Austria</v>
      </c>
      <c r="H115" s="9" t="str">
        <f ca="1">+WORLDCUP!BD61</f>
        <v>Australia</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Qatar</v>
      </c>
      <c r="F116" s="9" t="str">
        <f ca="1">+WORLDCUP!BD60</f>
        <v>Haiti</v>
      </c>
      <c r="G116" s="9" t="str">
        <f ca="1">+WORLDCUP!BD67</f>
        <v>Austria</v>
      </c>
      <c r="H116" s="9" t="str">
        <f ca="1">+WORLDCUP!BD61</f>
        <v>Australia</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Haiti</v>
      </c>
      <c r="D117" s="9" t="str">
        <f ca="1">+WORLDCUP!BD67</f>
        <v>Austria</v>
      </c>
      <c r="E117" s="9" t="str">
        <f ca="1">+WORLDCUP!BD59</f>
        <v>Qatar</v>
      </c>
      <c r="F117" s="9" t="str">
        <f ca="1">+WORLDCUP!BD61</f>
        <v>Australia</v>
      </c>
      <c r="G117" s="9" t="str">
        <f ca="1">+WORLDCUP!BD66</f>
        <v>Iraq</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Haiti</v>
      </c>
      <c r="D118" s="9" t="str">
        <f ca="1">+WORLDCUP!BD67</f>
        <v>Austria</v>
      </c>
      <c r="E118" s="9" t="str">
        <f ca="1">+WORLDCUP!BD59</f>
        <v>Qatar</v>
      </c>
      <c r="F118" s="9" t="str">
        <f ca="1">+WORLDCUP!BD61</f>
        <v>Australia</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Haiti</v>
      </c>
      <c r="D119" s="9" t="str">
        <f ca="1">+WORLDCUP!BD66</f>
        <v>Iraq</v>
      </c>
      <c r="E119" s="9" t="str">
        <f ca="1">+WORLDCUP!BD59</f>
        <v>Qatar</v>
      </c>
      <c r="F119" s="9" t="str">
        <f ca="1">+WORLDCUP!BD61</f>
        <v>Australia</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Haiti</v>
      </c>
      <c r="D120" s="9" t="str">
        <f ca="1">+WORLDCUP!BD67</f>
        <v>Austria</v>
      </c>
      <c r="E120" s="9" t="str">
        <f ca="1">+WORLDCUP!BD59</f>
        <v>Qatar</v>
      </c>
      <c r="F120" s="9" t="str">
        <f ca="1">+WORLDCUP!BD61</f>
        <v>Australia</v>
      </c>
      <c r="G120" s="9" t="str">
        <f ca="1">+WORLDCUP!BD65</f>
        <v>Saudi Arabia</v>
      </c>
      <c r="H120" s="9" t="str">
        <f ca="1">+WORLDCUP!BD63</f>
        <v>Sweden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Haiti</v>
      </c>
      <c r="D121" s="9" t="str">
        <f ca="1">+WORLDCUP!BD67</f>
        <v>Austria</v>
      </c>
      <c r="E121" s="9" t="str">
        <f ca="1">+WORLDCUP!BD59</f>
        <v>Qatar</v>
      </c>
      <c r="F121" s="9" t="str">
        <f ca="1">+WORLDCUP!BD61</f>
        <v>Australia</v>
      </c>
      <c r="G121" s="9" t="str">
        <f ca="1">+WORLDCUP!BD65</f>
        <v>Saudi Arabia</v>
      </c>
      <c r="H121" s="9" t="str">
        <f ca="1">+WORLDCUP!BD63</f>
        <v>Sweden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Haiti</v>
      </c>
      <c r="D122" s="9" t="str">
        <f ca="1">+WORLDCUP!BD64</f>
        <v>Iran</v>
      </c>
      <c r="E122" s="9" t="str">
        <f ca="1">+WORLDCUP!BD59</f>
        <v>Qatar</v>
      </c>
      <c r="F122" s="9" t="str">
        <f ca="1">+WORLDCUP!BD61</f>
        <v>Australia</v>
      </c>
      <c r="G122" s="9" t="str">
        <f ca="1">+WORLDCUP!BD67</f>
        <v>Austria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Haiti</v>
      </c>
      <c r="D123" s="9" t="str">
        <f ca="1">+WORLDCUP!BD64</f>
        <v>Iran</v>
      </c>
      <c r="E123" s="9" t="str">
        <f ca="1">+WORLDCUP!BD59</f>
        <v>Qatar</v>
      </c>
      <c r="F123" s="9" t="str">
        <f ca="1">+WORLDCUP!BD61</f>
        <v>Australia</v>
      </c>
      <c r="G123" s="9" t="str">
        <f ca="1">+WORLDCUP!BD66</f>
        <v>Iraq</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Haiti</v>
      </c>
      <c r="D124" s="9" t="str">
        <f ca="1">+WORLDCUP!BD64</f>
        <v>Iran</v>
      </c>
      <c r="E124" s="9" t="str">
        <f ca="1">+WORLDCUP!BD59</f>
        <v>Qatar</v>
      </c>
      <c r="F124" s="9" t="str">
        <f ca="1">+WORLDCUP!BD61</f>
        <v>Australia</v>
      </c>
      <c r="G124" s="9" t="str">
        <f ca="1">+WORLDCUP!BD67</f>
        <v>Austria</v>
      </c>
      <c r="H124" s="9" t="str">
        <f ca="1">+WORLDCUP!BD63</f>
        <v>Sweden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Haiti</v>
      </c>
      <c r="D125" s="9" t="str">
        <f ca="1">+WORLDCUP!BD64</f>
        <v>Iran</v>
      </c>
      <c r="E125" s="9" t="str">
        <f ca="1">+WORLDCUP!BD59</f>
        <v>Qatar</v>
      </c>
      <c r="F125" s="9" t="str">
        <f ca="1">+WORLDCUP!BD61</f>
        <v>Australia</v>
      </c>
      <c r="G125" s="9" t="str">
        <f ca="1">+WORLDCUP!BD67</f>
        <v>Austria</v>
      </c>
      <c r="H125" s="9" t="str">
        <f ca="1">+WORLDCUP!BD63</f>
        <v>Sweden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Haiti</v>
      </c>
      <c r="D126" s="9" t="str">
        <f ca="1">+WORLDCUP!BD64</f>
        <v>Iran</v>
      </c>
      <c r="E126" s="9" t="str">
        <f ca="1">+WORLDCUP!BD59</f>
        <v>Qatar</v>
      </c>
      <c r="F126" s="9" t="str">
        <f ca="1">+WORLDCUP!BD61</f>
        <v>Australia</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Haiti</v>
      </c>
      <c r="D127" s="9" t="str">
        <f ca="1">+WORLDCUP!BD64</f>
        <v>Iran</v>
      </c>
      <c r="E127" s="9" t="str">
        <f ca="1">+WORLDCUP!BD59</f>
        <v>Qatar</v>
      </c>
      <c r="F127" s="9" t="str">
        <f ca="1">+WORLDCUP!BD61</f>
        <v>Australia</v>
      </c>
      <c r="G127" s="9" t="str">
        <f ca="1">+WORLDCUP!BD65</f>
        <v>Saudi Arabia</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Qatar</v>
      </c>
      <c r="F128" s="9" t="str">
        <f ca="1">+WORLDCUP!BD60</f>
        <v>Haiti</v>
      </c>
      <c r="G128" s="9" t="str">
        <f ca="1">+WORLDCUP!BD67</f>
        <v>Austria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Haiti</v>
      </c>
      <c r="D129" s="9" t="str">
        <f ca="1">+WORLDCUP!BD64</f>
        <v>Iran</v>
      </c>
      <c r="E129" s="9" t="str">
        <f ca="1">+WORLDCUP!BD59</f>
        <v>Qatar</v>
      </c>
      <c r="F129" s="9" t="str">
        <f ca="1">+WORLDCUP!BD61</f>
        <v>Australia</v>
      </c>
      <c r="G129" s="9" t="str">
        <f ca="1">+WORLDCUP!BD65</f>
        <v>Saudi Arabia</v>
      </c>
      <c r="H129" s="9" t="str">
        <f ca="1">+WORLDCUP!BD63</f>
        <v>Sweden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Haiti</v>
      </c>
      <c r="D130" s="9" t="str">
        <f ca="1">+WORLDCUP!BD64</f>
        <v>Iran</v>
      </c>
      <c r="E130" s="9" t="str">
        <f ca="1">+WORLDCUP!BD59</f>
        <v>Qatar</v>
      </c>
      <c r="F130" s="9" t="str">
        <f ca="1">+WORLDCUP!BD61</f>
        <v>Australia</v>
      </c>
      <c r="G130" s="9" t="str">
        <f ca="1">+WORLDCUP!BD65</f>
        <v>Saudi Arabia</v>
      </c>
      <c r="H130" s="9" t="str">
        <f ca="1">+WORLDCUP!BD63</f>
        <v>Sweden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Qatar</v>
      </c>
      <c r="F131" s="9" t="str">
        <f ca="1">+WORLDCUP!BD60</f>
        <v>Haiti</v>
      </c>
      <c r="G131" s="9" t="str">
        <f ca="1">+WORLDCUP!BD67</f>
        <v>Austria</v>
      </c>
      <c r="H131" s="9" t="str">
        <f ca="1">+WORLDCUP!BD63</f>
        <v>Sweden</v>
      </c>
      <c r="I131" s="9" t="str">
        <f ca="1">+WORLDCUP!BD61</f>
        <v>Australia</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Qatar</v>
      </c>
      <c r="F132" s="9" t="str">
        <f ca="1">+WORLDCUP!BD60</f>
        <v>Haiti</v>
      </c>
      <c r="G132" s="9" t="str">
        <f ca="1">+WORLDCUP!BD66</f>
        <v>Iraq</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Qatar</v>
      </c>
      <c r="F133" s="9" t="str">
        <f ca="1">+WORLDCUP!BD60</f>
        <v>Haiti</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Iraq</v>
      </c>
      <c r="E134" s="9" t="str">
        <f ca="1">+WORLDCUP!BD59</f>
        <v>Qatar</v>
      </c>
      <c r="F134" s="9" t="str">
        <f ca="1">+WORLDCUP!BD60</f>
        <v>Haiti</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Qatar</v>
      </c>
      <c r="F135" s="9" t="str">
        <f ca="1">+WORLDCUP!BD60</f>
        <v>Haiti</v>
      </c>
      <c r="G135" s="9" t="str">
        <f ca="1">+WORLDCUP!BD65</f>
        <v>Saudi Arabia</v>
      </c>
      <c r="H135" s="9" t="str">
        <f ca="1">+WORLDCUP!BD61</f>
        <v>Australia</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Qatar</v>
      </c>
      <c r="F136" s="9" t="str">
        <f ca="1">+WORLDCUP!BD60</f>
        <v>Haiti</v>
      </c>
      <c r="G136" s="9" t="str">
        <f ca="1">+WORLDCUP!BD65</f>
        <v>Saudi Arabia</v>
      </c>
      <c r="H136" s="9" t="str">
        <f ca="1">+WORLDCUP!BD61</f>
        <v>Australia</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Qatar</v>
      </c>
      <c r="F137" s="9" t="str">
        <f ca="1">+WORLDCUP!BD60</f>
        <v>Haiti</v>
      </c>
      <c r="G137" s="9" t="str">
        <f ca="1">+WORLDCUP!BD67</f>
        <v>Austria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Qatar</v>
      </c>
      <c r="F138" s="9" t="str">
        <f ca="1">+WORLDCUP!BD60</f>
        <v>Haiti</v>
      </c>
      <c r="G138" s="9" t="str">
        <f ca="1">+WORLDCUP!BD66</f>
        <v>Iraq</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Qatar</v>
      </c>
      <c r="F139" s="9" t="str">
        <f ca="1">+WORLDCUP!BD60</f>
        <v>Haiti</v>
      </c>
      <c r="G139" s="9" t="str">
        <f ca="1">+WORLDCUP!BD67</f>
        <v>Austria</v>
      </c>
      <c r="H139" s="9" t="str">
        <f ca="1">+WORLDCUP!BD61</f>
        <v>Australia</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Qatar</v>
      </c>
      <c r="F140" s="9" t="str">
        <f ca="1">+WORLDCUP!BD60</f>
        <v>Haiti</v>
      </c>
      <c r="G140" s="9" t="str">
        <f ca="1">+WORLDCUP!BD67</f>
        <v>Austria</v>
      </c>
      <c r="H140" s="9" t="str">
        <f ca="1">+WORLDCUP!BD61</f>
        <v>Australia</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Qatar</v>
      </c>
      <c r="F141" s="9" t="str">
        <f ca="1">+WORLDCUP!BD60</f>
        <v>Haiti</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Qatar</v>
      </c>
      <c r="F142" s="9" t="str">
        <f ca="1">+WORLDCUP!BD60</f>
        <v>Haiti</v>
      </c>
      <c r="G142" s="9" t="str">
        <f ca="1">+WORLDCUP!BD67</f>
        <v>Austria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Qatar</v>
      </c>
      <c r="F143" s="9" t="str">
        <f ca="1">+WORLDCUP!BD60</f>
        <v>Haiti</v>
      </c>
      <c r="G143" s="9" t="str">
        <f ca="1">+WORLDCUP!BD67</f>
        <v>Austria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Qatar</v>
      </c>
      <c r="F144" s="9" t="str">
        <f ca="1">+WORLDCUP!BD60</f>
        <v>Haiti</v>
      </c>
      <c r="G144" s="9" t="str">
        <f ca="1">+WORLDCUP!BD65</f>
        <v>Saudi Arabia</v>
      </c>
      <c r="H144" s="9" t="str">
        <f ca="1">+WORLDCUP!BD61</f>
        <v>Australia</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Qatar</v>
      </c>
      <c r="F145" s="9" t="str">
        <f ca="1">+WORLDCUP!BD60</f>
        <v>Haiti</v>
      </c>
      <c r="G145" s="9" t="str">
        <f ca="1">+WORLDCUP!BD65</f>
        <v>Saudi Arabia</v>
      </c>
      <c r="H145" s="9" t="str">
        <f ca="1">+WORLDCUP!BD61</f>
        <v>Australia</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Qatar</v>
      </c>
      <c r="F146" s="9" t="str">
        <f ca="1">+WORLDCUP!BD60</f>
        <v>Haiti</v>
      </c>
      <c r="G146" s="9" t="str">
        <f ca="1">+WORLDCUP!BD67</f>
        <v>Austria</v>
      </c>
      <c r="H146" s="9" t="str">
        <f ca="1">+WORLDCUP!BD61</f>
        <v>Australia</v>
      </c>
      <c r="I146" s="9" t="str">
        <f ca="1">+WORLDCUP!BD62</f>
        <v>Ivory Coast</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Haiti</v>
      </c>
      <c r="D147" s="9" t="str">
        <f ca="1">+WORLDCUP!BD67</f>
        <v>Austria</v>
      </c>
      <c r="E147" s="9" t="str">
        <f ca="1">+WORLDCUP!BD59</f>
        <v>Qatar</v>
      </c>
      <c r="F147" s="9" t="str">
        <f ca="1">+WORLDCUP!BD61</f>
        <v>Australia</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Haiti</v>
      </c>
      <c r="D148" s="9" t="str">
        <f ca="1">+WORLDCUP!BD62</f>
        <v>Ivory Coast</v>
      </c>
      <c r="E148" s="9" t="str">
        <f ca="1">+WORLDCUP!BD59</f>
        <v>Qatar</v>
      </c>
      <c r="F148" s="9" t="str">
        <f ca="1">+WORLDCUP!BD61</f>
        <v>Australia</v>
      </c>
      <c r="G148" s="9" t="str">
        <f ca="1">+WORLDCUP!BD66</f>
        <v>Iraq</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Haiti</v>
      </c>
      <c r="D149" s="9" t="str">
        <f ca="1">+WORLDCUP!BD67</f>
        <v>Austria</v>
      </c>
      <c r="E149" s="9" t="str">
        <f ca="1">+WORLDCUP!BD59</f>
        <v>Qatar</v>
      </c>
      <c r="F149" s="9" t="str">
        <f ca="1">+WORLDCUP!BD61</f>
        <v>Australia</v>
      </c>
      <c r="G149" s="9" t="str">
        <f ca="1">+WORLDCUP!BD62</f>
        <v>Ivory Coast</v>
      </c>
      <c r="H149" s="9" t="str">
        <f ca="1">+WORLDCUP!BD63</f>
        <v>Sweden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Haiti</v>
      </c>
      <c r="D150" s="9" t="str">
        <f ca="1">+WORLDCUP!BD67</f>
        <v>Austria</v>
      </c>
      <c r="E150" s="9" t="str">
        <f ca="1">+WORLDCUP!BD59</f>
        <v>Qatar</v>
      </c>
      <c r="F150" s="9" t="str">
        <f ca="1">+WORLDCUP!BD61</f>
        <v>Australia</v>
      </c>
      <c r="G150" s="9" t="str">
        <f ca="1">+WORLDCUP!BD62</f>
        <v>Ivory Coast</v>
      </c>
      <c r="H150" s="9" t="str">
        <f ca="1">+WORLDCUP!BD63</f>
        <v>Sweden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Haiti</v>
      </c>
      <c r="D151" s="9" t="str">
        <f ca="1">+WORLDCUP!BD62</f>
        <v>Ivory Coast</v>
      </c>
      <c r="E151" s="9" t="str">
        <f ca="1">+WORLDCUP!BD59</f>
        <v>Qatar</v>
      </c>
      <c r="F151" s="9" t="str">
        <f ca="1">+WORLDCUP!BD61</f>
        <v>Australia</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Haiti</v>
      </c>
      <c r="D152" s="9" t="str">
        <f ca="1">+WORLDCUP!BD67</f>
        <v>Austria</v>
      </c>
      <c r="E152" s="9" t="str">
        <f ca="1">+WORLDCUP!BD59</f>
        <v>Qatar</v>
      </c>
      <c r="F152" s="9" t="str">
        <f ca="1">+WORLDCUP!BD61</f>
        <v>Australia</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Haiti</v>
      </c>
      <c r="D153" s="9" t="str">
        <f ca="1">+WORLDCUP!BD67</f>
        <v>Austria</v>
      </c>
      <c r="E153" s="9" t="str">
        <f ca="1">+WORLDCUP!BD59</f>
        <v>Qatar</v>
      </c>
      <c r="F153" s="9" t="str">
        <f ca="1">+WORLDCUP!BD61</f>
        <v>Australia</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Haiti</v>
      </c>
      <c r="D154" s="9" t="str">
        <f ca="1">+WORLDCUP!BD62</f>
        <v>Ivory Coast</v>
      </c>
      <c r="E154" s="9" t="str">
        <f ca="1">+WORLDCUP!BD59</f>
        <v>Qatar</v>
      </c>
      <c r="F154" s="9" t="str">
        <f ca="1">+WORLDCUP!BD61</f>
        <v>Australia</v>
      </c>
      <c r="G154" s="9" t="str">
        <f ca="1">+WORLDCUP!BD65</f>
        <v>Saudi Arabia</v>
      </c>
      <c r="H154" s="9" t="str">
        <f ca="1">+WORLDCUP!BD63</f>
        <v>Sweden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Haiti</v>
      </c>
      <c r="D155" s="9" t="str">
        <f ca="1">+WORLDCUP!BD62</f>
        <v>Ivory Coast</v>
      </c>
      <c r="E155" s="9" t="str">
        <f ca="1">+WORLDCUP!BD59</f>
        <v>Qatar</v>
      </c>
      <c r="F155" s="9" t="str">
        <f ca="1">+WORLDCUP!BD61</f>
        <v>Australia</v>
      </c>
      <c r="G155" s="9" t="str">
        <f ca="1">+WORLDCUP!BD65</f>
        <v>Saudi Arabia</v>
      </c>
      <c r="H155" s="9" t="str">
        <f ca="1">+WORLDCUP!BD63</f>
        <v>Sweden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Haiti</v>
      </c>
      <c r="D156" s="9" t="str">
        <f ca="1">+WORLDCUP!BD67</f>
        <v>Austria</v>
      </c>
      <c r="E156" s="9" t="str">
        <f ca="1">+WORLDCUP!BD59</f>
        <v>Qatar</v>
      </c>
      <c r="F156" s="9" t="str">
        <f ca="1">+WORLDCUP!BD61</f>
        <v>Australia</v>
      </c>
      <c r="G156" s="9" t="str">
        <f ca="1">+WORLDCUP!BD65</f>
        <v>Saudi Arabia</v>
      </c>
      <c r="H156" s="9" t="str">
        <f ca="1">+WORLDCUP!BD63</f>
        <v>Sweden</v>
      </c>
      <c r="I156" s="9" t="str">
        <f ca="1">+WORLDCUP!BD62</f>
        <v>Ivory Coast</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Haiti</v>
      </c>
      <c r="D157" s="9" t="str">
        <f ca="1">+WORLDCUP!BD64</f>
        <v>Iran</v>
      </c>
      <c r="E157" s="9" t="str">
        <f ca="1">+WORLDCUP!BD59</f>
        <v>Qatar</v>
      </c>
      <c r="F157" s="9" t="str">
        <f ca="1">+WORLDCUP!BD61</f>
        <v>Australia</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Haiti</v>
      </c>
      <c r="D158" s="9" t="str">
        <f ca="1">+WORLDCUP!BD64</f>
        <v>Iran</v>
      </c>
      <c r="E158" s="9" t="str">
        <f ca="1">+WORLDCUP!BD59</f>
        <v>Qatar</v>
      </c>
      <c r="F158" s="9" t="str">
        <f ca="1">+WORLDCUP!BD61</f>
        <v>Australia</v>
      </c>
      <c r="G158" s="9" t="str">
        <f ca="1">+WORLDCUP!BD67</f>
        <v>Austria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Haiti</v>
      </c>
      <c r="D159" s="9" t="str">
        <f ca="1">+WORLDCUP!BD64</f>
        <v>Iran</v>
      </c>
      <c r="E159" s="9" t="str">
        <f ca="1">+WORLDCUP!BD59</f>
        <v>Qatar</v>
      </c>
      <c r="F159" s="9" t="str">
        <f ca="1">+WORLDCUP!BD61</f>
        <v>Australia</v>
      </c>
      <c r="G159" s="9" t="str">
        <f ca="1">+WORLDCUP!BD67</f>
        <v>Austria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Haiti</v>
      </c>
      <c r="D160" s="9" t="str">
        <f ca="1">+WORLDCUP!BD64</f>
        <v>Iran</v>
      </c>
      <c r="E160" s="9" t="str">
        <f ca="1">+WORLDCUP!BD59</f>
        <v>Qatar</v>
      </c>
      <c r="F160" s="9" t="str">
        <f ca="1">+WORLDCUP!BD61</f>
        <v>Australia</v>
      </c>
      <c r="G160" s="9" t="str">
        <f ca="1">+WORLDCUP!BD62</f>
        <v>Ivory Coast</v>
      </c>
      <c r="H160" s="9" t="str">
        <f ca="1">+WORLDCUP!BD63</f>
        <v>Sweden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Haiti</v>
      </c>
      <c r="D161" s="9" t="str">
        <f ca="1">+WORLDCUP!BD64</f>
        <v>Iran</v>
      </c>
      <c r="E161" s="9" t="str">
        <f ca="1">+WORLDCUP!BD59</f>
        <v>Qatar</v>
      </c>
      <c r="F161" s="9" t="str">
        <f ca="1">+WORLDCUP!BD61</f>
        <v>Australia</v>
      </c>
      <c r="G161" s="9" t="str">
        <f ca="1">+WORLDCUP!BD62</f>
        <v>Ivory Coast</v>
      </c>
      <c r="H161" s="9" t="str">
        <f ca="1">+WORLDCUP!BD63</f>
        <v>Sweden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Haiti</v>
      </c>
      <c r="D162" s="9" t="str">
        <f ca="1">+WORLDCUP!BD64</f>
        <v>Iran</v>
      </c>
      <c r="E162" s="9" t="str">
        <f ca="1">+WORLDCUP!BD59</f>
        <v>Qatar</v>
      </c>
      <c r="F162" s="9" t="str">
        <f ca="1">+WORLDCUP!BD61</f>
        <v>Australia</v>
      </c>
      <c r="G162" s="9" t="str">
        <f ca="1">+WORLDCUP!BD67</f>
        <v>Austria</v>
      </c>
      <c r="H162" s="9" t="str">
        <f ca="1">+WORLDCUP!BD63</f>
        <v>Sweden</v>
      </c>
      <c r="I162" s="9" t="str">
        <f ca="1">+WORLDCUP!BD62</f>
        <v>Ivory Coast</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Haiti</v>
      </c>
      <c r="D163" s="9" t="str">
        <f ca="1">+WORLDCUP!BD64</f>
        <v>Iran</v>
      </c>
      <c r="E163" s="9" t="str">
        <f ca="1">+WORLDCUP!BD59</f>
        <v>Qatar</v>
      </c>
      <c r="F163" s="9" t="str">
        <f ca="1">+WORLDCUP!BD61</f>
        <v>Australia</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Haiti</v>
      </c>
      <c r="D164" s="9" t="str">
        <f ca="1">+WORLDCUP!BD64</f>
        <v>Iran</v>
      </c>
      <c r="E164" s="9" t="str">
        <f ca="1">+WORLDCUP!BD59</f>
        <v>Qatar</v>
      </c>
      <c r="F164" s="9" t="str">
        <f ca="1">+WORLDCUP!BD61</f>
        <v>Australia</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Qatar</v>
      </c>
      <c r="F165" s="9" t="str">
        <f ca="1">+WORLDCUP!BD60</f>
        <v>Haiti</v>
      </c>
      <c r="G165" s="9" t="str">
        <f ca="1">+WORLDCUP!BD67</f>
        <v>Austria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Haiti</v>
      </c>
      <c r="D166" s="9" t="str">
        <f ca="1">+WORLDCUP!BD64</f>
        <v>Iran</v>
      </c>
      <c r="E166" s="9" t="str">
        <f ca="1">+WORLDCUP!BD59</f>
        <v>Qatar</v>
      </c>
      <c r="F166" s="9" t="str">
        <f ca="1">+WORLDCUP!BD61</f>
        <v>Australia</v>
      </c>
      <c r="G166" s="9" t="str">
        <f ca="1">+WORLDCUP!BD65</f>
        <v>Saudi Arabia</v>
      </c>
      <c r="H166" s="9" t="str">
        <f ca="1">+WORLDCUP!BD63</f>
        <v>Sweden</v>
      </c>
      <c r="I166" s="9" t="str">
        <f ca="1">+WORLDCUP!BD62</f>
        <v>Ivory Coast</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Iraq</v>
      </c>
      <c r="F167" s="9" t="str">
        <f ca="1">+WORLDCUP!BD63</f>
        <v>Sweden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Iraq</v>
      </c>
      <c r="F168" s="9" t="str">
        <f ca="1">+WORLDCUP!BD58</f>
        <v>South Korea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Iraq</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Iraq</v>
      </c>
      <c r="F170" s="9" t="str">
        <f ca="1">+WORLDCUP!BD63</f>
        <v>Sweden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Austria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Iraq</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Austria</v>
      </c>
      <c r="F173" s="9" t="str">
        <f ca="1">+WORLDCUP!BD63</f>
        <v>Sweden</v>
      </c>
      <c r="G173" s="9" t="str">
        <f ca="1">+WORLDCUP!BD58</f>
        <v>South Korea</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Austria</v>
      </c>
      <c r="F174" s="9" t="str">
        <f ca="1">+WORLDCUP!BD63</f>
        <v>Sweden</v>
      </c>
      <c r="G174" s="9" t="str">
        <f ca="1">+WORLDCUP!BD58</f>
        <v>South Korea</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Iraq</v>
      </c>
      <c r="F175" s="9" t="str">
        <f ca="1">+WORLDCUP!BD61</f>
        <v>Australia</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Iraq</v>
      </c>
      <c r="F176" s="9" t="str">
        <f ca="1">+WORLDCUP!BD61</f>
        <v>Australia</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Iran</v>
      </c>
      <c r="E177" s="9" t="str">
        <f ca="1">+WORLDCUP!BD67</f>
        <v>Austria</v>
      </c>
      <c r="F177" s="9" t="str">
        <f ca="1">+WORLDCUP!BD61</f>
        <v>Australia</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Austria</v>
      </c>
      <c r="F178" s="9" t="str">
        <f ca="1">+WORLDCUP!BD61</f>
        <v>Australia</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Iraq</v>
      </c>
      <c r="F179" s="9" t="str">
        <f ca="1">+WORLDCUP!BD61</f>
        <v>Australia</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Austria</v>
      </c>
      <c r="F180" s="9" t="str">
        <f ca="1">+WORLDCUP!BD61</f>
        <v>Australia</v>
      </c>
      <c r="G180" s="9" t="str">
        <f ca="1">+WORLDCUP!BD58</f>
        <v>South Korea</v>
      </c>
      <c r="H180" s="9" t="str">
        <f ca="1">+WORLDCUP!BD63</f>
        <v>Sweden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Austria</v>
      </c>
      <c r="F181" s="9" t="str">
        <f ca="1">+WORLDCUP!BD61</f>
        <v>Australia</v>
      </c>
      <c r="G181" s="9" t="str">
        <f ca="1">+WORLDCUP!BD58</f>
        <v>South Korea</v>
      </c>
      <c r="H181" s="9" t="str">
        <f ca="1">+WORLDCUP!BD63</f>
        <v>Sweden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Iraq</v>
      </c>
      <c r="F182" s="9" t="str">
        <f ca="1">+WORLDCUP!BD61</f>
        <v>Australia</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Iraq</v>
      </c>
      <c r="F183" s="9" t="str">
        <f ca="1">+WORLDCUP!BD61</f>
        <v>Australia</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Austria</v>
      </c>
      <c r="F184" s="9" t="str">
        <f ca="1">+WORLDCUP!BD61</f>
        <v>Australia</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Iraq</v>
      </c>
      <c r="F185" s="9" t="str">
        <f ca="1">+WORLDCUP!BD61</f>
        <v>Australia</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Austria</v>
      </c>
      <c r="F186" s="9" t="str">
        <f ca="1">+WORLDCUP!BD61</f>
        <v>Australia</v>
      </c>
      <c r="G186" s="9" t="str">
        <f ca="1">+WORLDCUP!BD58</f>
        <v>South Korea</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Austria</v>
      </c>
      <c r="F187" s="9" t="str">
        <f ca="1">+WORLDCUP!BD61</f>
        <v>Australia</v>
      </c>
      <c r="G187" s="9" t="str">
        <f ca="1">+WORLDCUP!BD58</f>
        <v>South Korea</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Iraq</v>
      </c>
      <c r="F188" s="9" t="str">
        <f ca="1">+WORLDCUP!BD61</f>
        <v>Australia</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Iraq</v>
      </c>
      <c r="F190" s="9" t="str">
        <f ca="1">+WORLDCUP!BD61</f>
        <v>Australia</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Ivory Coast</v>
      </c>
      <c r="F192" s="9" t="str">
        <f ca="1">+WORLDCUP!BD61</f>
        <v>Australia</v>
      </c>
      <c r="G192" s="9" t="str">
        <f ca="1">+WORLDCUP!BD58</f>
        <v>South Korea</v>
      </c>
      <c r="H192" s="9" t="str">
        <f ca="1">+WORLDCUP!BD63</f>
        <v>Sweden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Austria</v>
      </c>
      <c r="F193" s="9" t="str">
        <f ca="1">+WORLDCUP!BD61</f>
        <v>Australia</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Iraq</v>
      </c>
      <c r="F194" s="9" t="str">
        <f ca="1">+WORLDCUP!BD61</f>
        <v>Australia</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Austria</v>
      </c>
      <c r="F195" s="9" t="str">
        <f ca="1">+WORLDCUP!BD61</f>
        <v>Australia</v>
      </c>
      <c r="G195" s="9" t="str">
        <f ca="1">+WORLDCUP!BD58</f>
        <v>South Korea</v>
      </c>
      <c r="H195" s="9" t="str">
        <f ca="1">+WORLDCUP!BD63</f>
        <v>Sweden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Austria</v>
      </c>
      <c r="F196" s="9" t="str">
        <f ca="1">+WORLDCUP!BD61</f>
        <v>Australia</v>
      </c>
      <c r="G196" s="9" t="str">
        <f ca="1">+WORLDCUP!BD58</f>
        <v>South Korea</v>
      </c>
      <c r="H196" s="9" t="str">
        <f ca="1">+WORLDCUP!BD63</f>
        <v>Sweden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Austria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Austria</v>
      </c>
      <c r="F199" s="9" t="str">
        <f ca="1">+WORLDCUP!BD61</f>
        <v>Australia</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South Korea</v>
      </c>
      <c r="H201" s="9" t="str">
        <f ca="1">+WORLDCUP!BD63</f>
        <v>Sweden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Austria</v>
      </c>
      <c r="F202" s="9" t="str">
        <f ca="1">+WORLDCUP!BD61</f>
        <v>Australia</v>
      </c>
      <c r="G202" s="9" t="str">
        <f ca="1">+WORLDCUP!BD58</f>
        <v>South Korea</v>
      </c>
      <c r="H202" s="9" t="str">
        <f ca="1">+WORLDCUP!BD63</f>
        <v>Sweden</v>
      </c>
      <c r="I202" s="9" t="str">
        <f ca="1">+WORLDCUP!BD62</f>
        <v>Ivory Coast</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Iraq</v>
      </c>
      <c r="F203" s="9" t="str">
        <f ca="1">+WORLDCUP!BD60</f>
        <v>Haiti</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Iraq</v>
      </c>
      <c r="F204" s="9" t="str">
        <f ca="1">+WORLDCUP!BD60</f>
        <v>Haiti</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Iran</v>
      </c>
      <c r="E205" s="9" t="str">
        <f ca="1">+WORLDCUP!BD67</f>
        <v>Austria</v>
      </c>
      <c r="F205" s="9" t="str">
        <f ca="1">+WORLDCUP!BD60</f>
        <v>Haiti</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Austria</v>
      </c>
      <c r="F206" s="9" t="str">
        <f ca="1">+WORLDCUP!BD60</f>
        <v>Haiti</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Iraq</v>
      </c>
      <c r="F207" s="9" t="str">
        <f ca="1">+WORLDCUP!BD60</f>
        <v>Haiti</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Austria</v>
      </c>
      <c r="F208" s="9" t="str">
        <f ca="1">+WORLDCUP!BD60</f>
        <v>Haiti</v>
      </c>
      <c r="G208" s="9" t="str">
        <f ca="1">+WORLDCUP!BD58</f>
        <v>South Korea</v>
      </c>
      <c r="H208" s="9" t="str">
        <f ca="1">+WORLDCUP!BD63</f>
        <v>Sweden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Austria</v>
      </c>
      <c r="F209" s="9" t="str">
        <f ca="1">+WORLDCUP!BD60</f>
        <v>Haiti</v>
      </c>
      <c r="G209" s="9" t="str">
        <f ca="1">+WORLDCUP!BD58</f>
        <v>South Korea</v>
      </c>
      <c r="H209" s="9" t="str">
        <f ca="1">+WORLDCUP!BD63</f>
        <v>Sweden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Iraq</v>
      </c>
      <c r="F210" s="9" t="str">
        <f ca="1">+WORLDCUP!BD60</f>
        <v>Haiti</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Iraq</v>
      </c>
      <c r="F211" s="9" t="str">
        <f ca="1">+WORLDCUP!BD60</f>
        <v>Haiti</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Austria</v>
      </c>
      <c r="F212" s="9" t="str">
        <f ca="1">+WORLDCUP!BD60</f>
        <v>Haiti</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Iraq</v>
      </c>
      <c r="F213" s="9" t="str">
        <f ca="1">+WORLDCUP!BD60</f>
        <v>Haiti</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Austria</v>
      </c>
      <c r="F214" s="9" t="str">
        <f ca="1">+WORLDCUP!BD60</f>
        <v>Haiti</v>
      </c>
      <c r="G214" s="9" t="str">
        <f ca="1">+WORLDCUP!BD58</f>
        <v>South Korea</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Austria</v>
      </c>
      <c r="F215" s="9" t="str">
        <f ca="1">+WORLDCUP!BD60</f>
        <v>Haiti</v>
      </c>
      <c r="G215" s="9" t="str">
        <f ca="1">+WORLDCUP!BD58</f>
        <v>South Korea</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Iraq</v>
      </c>
      <c r="F216" s="9" t="str">
        <f ca="1">+WORLDCUP!BD60</f>
        <v>Haiti</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Ivory Coast</v>
      </c>
      <c r="F217" s="9" t="str">
        <f ca="1">+WORLDCUP!BD60</f>
        <v>Haiti</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Iraq</v>
      </c>
      <c r="F218" s="9" t="str">
        <f ca="1">+WORLDCUP!BD60</f>
        <v>Haiti</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Ivory Coast</v>
      </c>
      <c r="F219" s="9" t="str">
        <f ca="1">+WORLDCUP!BD60</f>
        <v>Haiti</v>
      </c>
      <c r="G219" s="9" t="str">
        <f ca="1">+WORLDCUP!BD58</f>
        <v>South Korea</v>
      </c>
      <c r="H219" s="9" t="str">
        <f ca="1">+WORLDCUP!BD63</f>
        <v>Sweden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Ivory Coast</v>
      </c>
      <c r="F220" s="9" t="str">
        <f ca="1">+WORLDCUP!BD60</f>
        <v>Haiti</v>
      </c>
      <c r="G220" s="9" t="str">
        <f ca="1">+WORLDCUP!BD58</f>
        <v>South Korea</v>
      </c>
      <c r="H220" s="9" t="str">
        <f ca="1">+WORLDCUP!BD63</f>
        <v>Sweden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Austria</v>
      </c>
      <c r="F221" s="9" t="str">
        <f ca="1">+WORLDCUP!BD60</f>
        <v>Haiti</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Iraq</v>
      </c>
      <c r="F222" s="9" t="str">
        <f ca="1">+WORLDCUP!BD60</f>
        <v>Haiti</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Austria</v>
      </c>
      <c r="F223" s="9" t="str">
        <f ca="1">+WORLDCUP!BD60</f>
        <v>Haiti</v>
      </c>
      <c r="G223" s="9" t="str">
        <f ca="1">+WORLDCUP!BD58</f>
        <v>South Korea</v>
      </c>
      <c r="H223" s="9" t="str">
        <f ca="1">+WORLDCUP!BD63</f>
        <v>Sweden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Austria</v>
      </c>
      <c r="F224" s="9" t="str">
        <f ca="1">+WORLDCUP!BD60</f>
        <v>Haiti</v>
      </c>
      <c r="G224" s="9" t="str">
        <f ca="1">+WORLDCUP!BD58</f>
        <v>South Korea</v>
      </c>
      <c r="H224" s="9" t="str">
        <f ca="1">+WORLDCUP!BD63</f>
        <v>Sweden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Haiti</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Austria</v>
      </c>
      <c r="F226" s="9" t="str">
        <f ca="1">+WORLDCUP!BD60</f>
        <v>Haiti</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Austria</v>
      </c>
      <c r="F227" s="9" t="str">
        <f ca="1">+WORLDCUP!BD60</f>
        <v>Haiti</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Haiti</v>
      </c>
      <c r="G228" s="9" t="str">
        <f ca="1">+WORLDCUP!BD58</f>
        <v>South Korea</v>
      </c>
      <c r="H228" s="9" t="str">
        <f ca="1">+WORLDCUP!BD63</f>
        <v>Sweden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Haiti</v>
      </c>
      <c r="G229" s="9" t="str">
        <f ca="1">+WORLDCUP!BD58</f>
        <v>South Korea</v>
      </c>
      <c r="H229" s="9" t="str">
        <f ca="1">+WORLDCUP!BD63</f>
        <v>Sweden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Austria</v>
      </c>
      <c r="F230" s="9" t="str">
        <f ca="1">+WORLDCUP!BD60</f>
        <v>Haiti</v>
      </c>
      <c r="G230" s="9" t="str">
        <f ca="1">+WORLDCUP!BD58</f>
        <v>South Korea</v>
      </c>
      <c r="H230" s="9" t="str">
        <f ca="1">+WORLDCUP!BD63</f>
        <v>Sweden</v>
      </c>
      <c r="I230" s="9" t="str">
        <f ca="1">+WORLDCUP!BD62</f>
        <v>Ivory Coast</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Iraq</v>
      </c>
      <c r="F231" s="9" t="str">
        <f ca="1">+WORLDCUP!BD60</f>
        <v>Haiti</v>
      </c>
      <c r="G231" s="9" t="str">
        <f ca="1">+WORLDCUP!BD58</f>
        <v>South Korea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Iran</v>
      </c>
      <c r="E232" s="9" t="str">
        <f ca="1">+WORLDCUP!BD67</f>
        <v>Austria</v>
      </c>
      <c r="F232" s="9" t="str">
        <f ca="1">+WORLDCUP!BD60</f>
        <v>Haiti</v>
      </c>
      <c r="G232" s="9" t="str">
        <f ca="1">+WORLDCUP!BD58</f>
        <v>South Korea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Austria</v>
      </c>
      <c r="F233" s="9" t="str">
        <f ca="1">+WORLDCUP!BD60</f>
        <v>Haiti</v>
      </c>
      <c r="G233" s="9" t="str">
        <f ca="1">+WORLDCUP!BD58</f>
        <v>South Korea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Iraq</v>
      </c>
      <c r="F234" s="9" t="str">
        <f ca="1">+WORLDCUP!BD60</f>
        <v>Haiti</v>
      </c>
      <c r="G234" s="9" t="str">
        <f ca="1">+WORLDCUP!BD58</f>
        <v>South Korea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Austria</v>
      </c>
      <c r="F235" s="9" t="str">
        <f ca="1">+WORLDCUP!BD60</f>
        <v>Haiti</v>
      </c>
      <c r="G235" s="9" t="str">
        <f ca="1">+WORLDCUP!BD58</f>
        <v>South Korea</v>
      </c>
      <c r="H235" s="9" t="str">
        <f ca="1">+WORLDCUP!BD61</f>
        <v>Australia</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Austria</v>
      </c>
      <c r="F236" s="9" t="str">
        <f ca="1">+WORLDCUP!BD60</f>
        <v>Haiti</v>
      </c>
      <c r="G236" s="9" t="str">
        <f ca="1">+WORLDCUP!BD58</f>
        <v>South Korea</v>
      </c>
      <c r="H236" s="9" t="str">
        <f ca="1">+WORLDCUP!BD61</f>
        <v>Australia</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Haiti</v>
      </c>
      <c r="D237" s="9" t="str">
        <f ca="1">+WORLDCUP!BD67</f>
        <v>Austria</v>
      </c>
      <c r="E237" s="9" t="str">
        <f ca="1">+WORLDCUP!BD66</f>
        <v>Iraq</v>
      </c>
      <c r="F237" s="9" t="str">
        <f ca="1">+WORLDCUP!BD61</f>
        <v>Australia</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Haiti</v>
      </c>
      <c r="G238" s="9" t="str">
        <f ca="1">+WORLDCUP!BD58</f>
        <v>South Korea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Iraq</v>
      </c>
      <c r="F239" s="9" t="str">
        <f ca="1">+WORLDCUP!BD60</f>
        <v>Haiti</v>
      </c>
      <c r="G239" s="9" t="str">
        <f ca="1">+WORLDCUP!BD58</f>
        <v>South Korea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Haiti</v>
      </c>
      <c r="G240" s="9" t="str">
        <f ca="1">+WORLDCUP!BD58</f>
        <v>South Korea</v>
      </c>
      <c r="H240" s="9" t="str">
        <f ca="1">+WORLDCUP!BD61</f>
        <v>Australia</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Haiti</v>
      </c>
      <c r="G241" s="9" t="str">
        <f ca="1">+WORLDCUP!BD58</f>
        <v>South Korea</v>
      </c>
      <c r="H241" s="9" t="str">
        <f ca="1">+WORLDCUP!BD61</f>
        <v>Australia</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Haiti</v>
      </c>
      <c r="D242" s="9" t="str">
        <f ca="1">+WORLDCUP!BD64</f>
        <v>Iran</v>
      </c>
      <c r="E242" s="9" t="str">
        <f ca="1">+WORLDCUP!BD67</f>
        <v>Austria</v>
      </c>
      <c r="F242" s="9" t="str">
        <f ca="1">+WORLDCUP!BD61</f>
        <v>Australia</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Haiti</v>
      </c>
      <c r="D243" s="9" t="str">
        <f ca="1">+WORLDCUP!BD64</f>
        <v>Iran</v>
      </c>
      <c r="E243" s="9" t="str">
        <f ca="1">+WORLDCUP!BD66</f>
        <v>Iraq</v>
      </c>
      <c r="F243" s="9" t="str">
        <f ca="1">+WORLDCUP!BD61</f>
        <v>Australia</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Haiti</v>
      </c>
      <c r="D244" s="9" t="str">
        <f ca="1">+WORLDCUP!BD64</f>
        <v>Iran</v>
      </c>
      <c r="E244" s="9" t="str">
        <f ca="1">+WORLDCUP!BD67</f>
        <v>Austria</v>
      </c>
      <c r="F244" s="9" t="str">
        <f ca="1">+WORLDCUP!BD61</f>
        <v>Australia</v>
      </c>
      <c r="G244" s="9" t="str">
        <f ca="1">+WORLDCUP!BD58</f>
        <v>South Korea</v>
      </c>
      <c r="H244" s="9" t="str">
        <f ca="1">+WORLDCUP!BD63</f>
        <v>Sweden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Haiti</v>
      </c>
      <c r="D245" s="9" t="str">
        <f ca="1">+WORLDCUP!BD64</f>
        <v>Iran</v>
      </c>
      <c r="E245" s="9" t="str">
        <f ca="1">+WORLDCUP!BD67</f>
        <v>Austria</v>
      </c>
      <c r="F245" s="9" t="str">
        <f ca="1">+WORLDCUP!BD61</f>
        <v>Australia</v>
      </c>
      <c r="G245" s="9" t="str">
        <f ca="1">+WORLDCUP!BD58</f>
        <v>South Korea</v>
      </c>
      <c r="H245" s="9" t="str">
        <f ca="1">+WORLDCUP!BD63</f>
        <v>Sweden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Haiti</v>
      </c>
      <c r="G246" s="9" t="str">
        <f ca="1">+WORLDCUP!BD58</f>
        <v>South Korea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Haiti</v>
      </c>
      <c r="D247" s="9" t="str">
        <f ca="1">+WORLDCUP!BD64</f>
        <v>Iran</v>
      </c>
      <c r="E247" s="9" t="str">
        <f ca="1">+WORLDCUP!BD67</f>
        <v>Austria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Austria</v>
      </c>
      <c r="F248" s="9" t="str">
        <f ca="1">+WORLDCUP!BD60</f>
        <v>Haiti</v>
      </c>
      <c r="G248" s="9" t="str">
        <f ca="1">+WORLDCUP!BD58</f>
        <v>South Korea</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Haiti</v>
      </c>
      <c r="G249" s="9" t="str">
        <f ca="1">+WORLDCUP!BD58</f>
        <v>South Korea</v>
      </c>
      <c r="H249" s="9" t="str">
        <f ca="1">+WORLDCUP!BD61</f>
        <v>Australia</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Haiti</v>
      </c>
      <c r="G250" s="9" t="str">
        <f ca="1">+WORLDCUP!BD58</f>
        <v>South Korea</v>
      </c>
      <c r="H250" s="9" t="str">
        <f ca="1">+WORLDCUP!BD61</f>
        <v>Australia</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Austria</v>
      </c>
      <c r="F251" s="9" t="str">
        <f ca="1">+WORLDCUP!BD60</f>
        <v>Haiti</v>
      </c>
      <c r="G251" s="9" t="str">
        <f ca="1">+WORLDCUP!BD58</f>
        <v>South Korea</v>
      </c>
      <c r="H251" s="9" t="str">
        <f ca="1">+WORLDCUP!BD63</f>
        <v>Sweden</v>
      </c>
      <c r="I251" s="9" t="str">
        <f ca="1">+WORLDCUP!BD61</f>
        <v>Australia</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Iraq</v>
      </c>
      <c r="F252" s="9" t="str">
        <f ca="1">+WORLDCUP!BD60</f>
        <v>Haiti</v>
      </c>
      <c r="G252" s="9" t="str">
        <f ca="1">+WORLDCUP!BD58</f>
        <v>South Korea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Ivory Coast</v>
      </c>
      <c r="F253" s="9" t="str">
        <f ca="1">+WORLDCUP!BD60</f>
        <v>Haiti</v>
      </c>
      <c r="G253" s="9" t="str">
        <f ca="1">+WORLDCUP!BD58</f>
        <v>South Korea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Iraq</v>
      </c>
      <c r="F254" s="9" t="str">
        <f ca="1">+WORLDCUP!BD60</f>
        <v>Haiti</v>
      </c>
      <c r="G254" s="9" t="str">
        <f ca="1">+WORLDCUP!BD58</f>
        <v>South Korea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Ivory Coast</v>
      </c>
      <c r="F255" s="9" t="str">
        <f ca="1">+WORLDCUP!BD60</f>
        <v>Haiti</v>
      </c>
      <c r="G255" s="9" t="str">
        <f ca="1">+WORLDCUP!BD58</f>
        <v>South Korea</v>
      </c>
      <c r="H255" s="9" t="str">
        <f ca="1">+WORLDCUP!BD61</f>
        <v>Australia</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Ivory Coast</v>
      </c>
      <c r="F256" s="9" t="str">
        <f ca="1">+WORLDCUP!BD60</f>
        <v>Haiti</v>
      </c>
      <c r="G256" s="9" t="str">
        <f ca="1">+WORLDCUP!BD58</f>
        <v>South Korea</v>
      </c>
      <c r="H256" s="9" t="str">
        <f ca="1">+WORLDCUP!BD61</f>
        <v>Australia</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Austria</v>
      </c>
      <c r="F257" s="9" t="str">
        <f ca="1">+WORLDCUP!BD60</f>
        <v>Haiti</v>
      </c>
      <c r="G257" s="9" t="str">
        <f ca="1">+WORLDCUP!BD58</f>
        <v>South Korea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Iraq</v>
      </c>
      <c r="F258" s="9" t="str">
        <f ca="1">+WORLDCUP!BD60</f>
        <v>Haiti</v>
      </c>
      <c r="G258" s="9" t="str">
        <f ca="1">+WORLDCUP!BD58</f>
        <v>South Korea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Austria</v>
      </c>
      <c r="F259" s="9" t="str">
        <f ca="1">+WORLDCUP!BD60</f>
        <v>Haiti</v>
      </c>
      <c r="G259" s="9" t="str">
        <f ca="1">+WORLDCUP!BD58</f>
        <v>South Korea</v>
      </c>
      <c r="H259" s="9" t="str">
        <f ca="1">+WORLDCUP!BD61</f>
        <v>Australia</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Austria</v>
      </c>
      <c r="F260" s="9" t="str">
        <f ca="1">+WORLDCUP!BD60</f>
        <v>Haiti</v>
      </c>
      <c r="G260" s="9" t="str">
        <f ca="1">+WORLDCUP!BD58</f>
        <v>South Korea</v>
      </c>
      <c r="H260" s="9" t="str">
        <f ca="1">+WORLDCUP!BD61</f>
        <v>Australia</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Haiti</v>
      </c>
      <c r="G261" s="9" t="str">
        <f ca="1">+WORLDCUP!BD58</f>
        <v>South Korea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Austria</v>
      </c>
      <c r="F262" s="9" t="str">
        <f ca="1">+WORLDCUP!BD60</f>
        <v>Haiti</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Austria</v>
      </c>
      <c r="F263" s="9" t="str">
        <f ca="1">+WORLDCUP!BD60</f>
        <v>Haiti</v>
      </c>
      <c r="G263" s="9" t="str">
        <f ca="1">+WORLDCUP!BD58</f>
        <v>South Korea</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Haiti</v>
      </c>
      <c r="G264" s="9" t="str">
        <f ca="1">+WORLDCUP!BD58</f>
        <v>South Korea</v>
      </c>
      <c r="H264" s="9" t="str">
        <f ca="1">+WORLDCUP!BD61</f>
        <v>Australia</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Haiti</v>
      </c>
      <c r="G265" s="9" t="str">
        <f ca="1">+WORLDCUP!BD58</f>
        <v>South Korea</v>
      </c>
      <c r="H265" s="9" t="str">
        <f ca="1">+WORLDCUP!BD61</f>
        <v>Australia</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Austria</v>
      </c>
      <c r="F266" s="9" t="str">
        <f ca="1">+WORLDCUP!BD60</f>
        <v>Haiti</v>
      </c>
      <c r="G266" s="9" t="str">
        <f ca="1">+WORLDCUP!BD58</f>
        <v>South Korea</v>
      </c>
      <c r="H266" s="9" t="str">
        <f ca="1">+WORLDCUP!BD61</f>
        <v>Australia</v>
      </c>
      <c r="I266" s="9" t="str">
        <f ca="1">+WORLDCUP!BD62</f>
        <v>Ivory Coast</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Haiti</v>
      </c>
      <c r="D267" s="9" t="str">
        <f ca="1">+WORLDCUP!BD67</f>
        <v>Austria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Haiti</v>
      </c>
      <c r="D268" s="9" t="str">
        <f ca="1">+WORLDCUP!BD62</f>
        <v>Ivory Coast</v>
      </c>
      <c r="E268" s="9" t="str">
        <f ca="1">+WORLDCUP!BD66</f>
        <v>Iraq</v>
      </c>
      <c r="F268" s="9" t="str">
        <f ca="1">+WORLDCUP!BD61</f>
        <v>Australia</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Haiti</v>
      </c>
      <c r="D269" s="9" t="str">
        <f ca="1">+WORLDCUP!BD67</f>
        <v>Austria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Haiti</v>
      </c>
      <c r="D270" s="9" t="str">
        <f ca="1">+WORLDCUP!BD67</f>
        <v>Austria</v>
      </c>
      <c r="E270" s="9" t="str">
        <f ca="1">+WORLDCUP!BD62</f>
        <v>Ivory Coast</v>
      </c>
      <c r="F270" s="9" t="str">
        <f ca="1">+WORLDCUP!BD61</f>
        <v>Australia</v>
      </c>
      <c r="G270" s="9" t="str">
        <f ca="1">+WORLDCUP!BD58</f>
        <v>South Korea</v>
      </c>
      <c r="H270" s="9" t="str">
        <f ca="1">+WORLDCUP!BD63</f>
        <v>Sweden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Haiti</v>
      </c>
      <c r="G271" s="9" t="str">
        <f ca="1">+WORLDCUP!BD58</f>
        <v>South Korea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Haiti</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Ivory Coast</v>
      </c>
      <c r="F273" s="9" t="str">
        <f ca="1">+WORLDCUP!BD60</f>
        <v>Haiti</v>
      </c>
      <c r="G273" s="9" t="str">
        <f ca="1">+WORLDCUP!BD58</f>
        <v>South Korea</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Haiti</v>
      </c>
      <c r="G274" s="9" t="str">
        <f ca="1">+WORLDCUP!BD58</f>
        <v>South Korea</v>
      </c>
      <c r="H274" s="9" t="str">
        <f ca="1">+WORLDCUP!BD61</f>
        <v>Australia</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Haiti</v>
      </c>
      <c r="G275" s="9" t="str">
        <f ca="1">+WORLDCUP!BD58</f>
        <v>South Korea</v>
      </c>
      <c r="H275" s="9" t="str">
        <f ca="1">+WORLDCUP!BD61</f>
        <v>Australia</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Ivory Coast</v>
      </c>
      <c r="F276" s="9" t="str">
        <f ca="1">+WORLDCUP!BD60</f>
        <v>Haiti</v>
      </c>
      <c r="G276" s="9" t="str">
        <f ca="1">+WORLDCUP!BD58</f>
        <v>South Korea</v>
      </c>
      <c r="H276" s="9" t="str">
        <f ca="1">+WORLDCUP!BD63</f>
        <v>Sweden</v>
      </c>
      <c r="I276" s="9" t="str">
        <f ca="1">+WORLDCUP!BD61</f>
        <v>Australia</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Haiti</v>
      </c>
      <c r="D277" s="9" t="str">
        <f ca="1">+WORLDCUP!BD64</f>
        <v>Iran</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Haiti</v>
      </c>
      <c r="D278" s="9" t="str">
        <f ca="1">+WORLDCUP!BD64</f>
        <v>Iran</v>
      </c>
      <c r="E278" s="9" t="str">
        <f ca="1">+WORLDCUP!BD67</f>
        <v>Austria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Haiti</v>
      </c>
      <c r="D279" s="9" t="str">
        <f ca="1">+WORLDCUP!BD64</f>
        <v>Iran</v>
      </c>
      <c r="E279" s="9" t="str">
        <f ca="1">+WORLDCUP!BD67</f>
        <v>Austria</v>
      </c>
      <c r="F279" s="9" t="str">
        <f ca="1">+WORLDCUP!BD61</f>
        <v>Australia</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Haiti</v>
      </c>
      <c r="D280" s="9" t="str">
        <f ca="1">+WORLDCUP!BD64</f>
        <v>Iran</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Haiti</v>
      </c>
      <c r="D281" s="9" t="str">
        <f ca="1">+WORLDCUP!BD64</f>
        <v>Iran</v>
      </c>
      <c r="E281" s="9" t="str">
        <f ca="1">+WORLDCUP!BD62</f>
        <v>Ivory Coast</v>
      </c>
      <c r="F281" s="9" t="str">
        <f ca="1">+WORLDCUP!BD61</f>
        <v>Australia</v>
      </c>
      <c r="G281" s="9" t="str">
        <f ca="1">+WORLDCUP!BD58</f>
        <v>South Korea</v>
      </c>
      <c r="H281" s="9" t="str">
        <f ca="1">+WORLDCUP!BD63</f>
        <v>Sweden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Haiti</v>
      </c>
      <c r="D282" s="9" t="str">
        <f ca="1">+WORLDCUP!BD64</f>
        <v>Iran</v>
      </c>
      <c r="E282" s="9" t="str">
        <f ca="1">+WORLDCUP!BD67</f>
        <v>Austria</v>
      </c>
      <c r="F282" s="9" t="str">
        <f ca="1">+WORLDCUP!BD61</f>
        <v>Australia</v>
      </c>
      <c r="G282" s="9" t="str">
        <f ca="1">+WORLDCUP!BD58</f>
        <v>South Korea</v>
      </c>
      <c r="H282" s="9" t="str">
        <f ca="1">+WORLDCUP!BD63</f>
        <v>Sweden</v>
      </c>
      <c r="I282" s="9" t="str">
        <f ca="1">+WORLDCUP!BD62</f>
        <v>Ivory Coast</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Haiti</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Haiti</v>
      </c>
      <c r="G284" s="9" t="str">
        <f ca="1">+WORLDCUP!BD58</f>
        <v>South Korea</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Austria</v>
      </c>
      <c r="F285" s="9" t="str">
        <f ca="1">+WORLDCUP!BD60</f>
        <v>Haiti</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Haiti</v>
      </c>
      <c r="G286" s="9" t="str">
        <f ca="1">+WORLDCUP!BD58</f>
        <v>South Korea</v>
      </c>
      <c r="H286" s="9" t="str">
        <f ca="1">+WORLDCUP!BD63</f>
        <v>Sweden</v>
      </c>
      <c r="I286" s="9" t="str">
        <f ca="1">+WORLDCUP!BD61</f>
        <v>Australia</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Qatar</v>
      </c>
      <c r="F287" s="9" t="str">
        <f ca="1">+WORLDCUP!BD58</f>
        <v>South Korea</v>
      </c>
      <c r="G287" s="9" t="str">
        <f ca="1">+WORLDCUP!BD66</f>
        <v>Iraq</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Qatar</v>
      </c>
      <c r="F288" s="9" t="str">
        <f ca="1">+WORLDCUP!BD58</f>
        <v>South Korea</v>
      </c>
      <c r="G288" s="9" t="str">
        <f ca="1">+WORLDCUP!BD66</f>
        <v>Iraq</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Austria</v>
      </c>
      <c r="E289" s="9" t="str">
        <f ca="1">+WORLDCUP!BD59</f>
        <v>Qatar</v>
      </c>
      <c r="F289" s="9" t="str">
        <f ca="1">+WORLDCUP!BD63</f>
        <v>Sweden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Qatar</v>
      </c>
      <c r="F290" s="9" t="str">
        <f ca="1">+WORLDCUP!BD63</f>
        <v>Sweden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Qatar</v>
      </c>
      <c r="F291" s="9" t="str">
        <f ca="1">+WORLDCUP!BD58</f>
        <v>South Korea</v>
      </c>
      <c r="G291" s="9" t="str">
        <f ca="1">+WORLDCUP!BD66</f>
        <v>Iraq</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Qatar</v>
      </c>
      <c r="F292" s="9" t="str">
        <f ca="1">+WORLDCUP!BD63</f>
        <v>Sweden</v>
      </c>
      <c r="G292" s="9" t="str">
        <f ca="1">+WORLDCUP!BD58</f>
        <v>South Korea</v>
      </c>
      <c r="H292" s="9" t="str">
        <f ca="1">+WORLDCUP!BD64</f>
        <v>Iran</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Qatar</v>
      </c>
      <c r="F293" s="9" t="str">
        <f ca="1">+WORLDCUP!BD63</f>
        <v>Sweden</v>
      </c>
      <c r="G293" s="9" t="str">
        <f ca="1">+WORLDCUP!BD58</f>
        <v>South Korea</v>
      </c>
      <c r="H293" s="9" t="str">
        <f ca="1">+WORLDCUP!BD64</f>
        <v>Iran</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Qatar</v>
      </c>
      <c r="F294" s="9" t="str">
        <f ca="1">+WORLDCUP!BD58</f>
        <v>South Korea</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Qatar</v>
      </c>
      <c r="F295" s="9" t="str">
        <f ca="1">+WORLDCUP!BD58</f>
        <v>South Korea</v>
      </c>
      <c r="G295" s="9" t="str">
        <f ca="1">+WORLDCUP!BD66</f>
        <v>Iraq</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Qatar</v>
      </c>
      <c r="F296" s="9" t="str">
        <f ca="1">+WORLDCUP!BD58</f>
        <v>South Korea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Qatar</v>
      </c>
      <c r="F297" s="9" t="str">
        <f ca="1">+WORLDCUP!BD58</f>
        <v>South Korea</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Qatar</v>
      </c>
      <c r="F298" s="9" t="str">
        <f ca="1">+WORLDCUP!BD58</f>
        <v>South Korea</v>
      </c>
      <c r="G298" s="9" t="str">
        <f ca="1">+WORLDCUP!BD65</f>
        <v>Saudi Arabia</v>
      </c>
      <c r="H298" s="9" t="str">
        <f ca="1">+WORLDCUP!BD64</f>
        <v>Iran</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Qatar</v>
      </c>
      <c r="F299" s="9" t="str">
        <f ca="1">+WORLDCUP!BD58</f>
        <v>South Korea</v>
      </c>
      <c r="G299" s="9" t="str">
        <f ca="1">+WORLDCUP!BD65</f>
        <v>Saudi Arabia</v>
      </c>
      <c r="H299" s="9" t="str">
        <f ca="1">+WORLDCUP!BD64</f>
        <v>Iran</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Qatar</v>
      </c>
      <c r="F300" s="9" t="str">
        <f ca="1">+WORLDCUP!BD58</f>
        <v>South Korea</v>
      </c>
      <c r="G300" s="9" t="str">
        <f ca="1">+WORLDCUP!BD66</f>
        <v>Iraq</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Qatar</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Iraq</v>
      </c>
      <c r="E302" s="9" t="str">
        <f ca="1">+WORLDCUP!BD59</f>
        <v>Qatar</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Qatar</v>
      </c>
      <c r="F303" s="9" t="str">
        <f ca="1">+WORLDCUP!BD63</f>
        <v>Sweden</v>
      </c>
      <c r="G303" s="9" t="str">
        <f ca="1">+WORLDCUP!BD58</f>
        <v>South Korea</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Qatar</v>
      </c>
      <c r="F304" s="9" t="str">
        <f ca="1">+WORLDCUP!BD63</f>
        <v>Sweden</v>
      </c>
      <c r="G304" s="9" t="str">
        <f ca="1">+WORLDCUP!BD58</f>
        <v>South Korea</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Qatar</v>
      </c>
      <c r="F305" s="9" t="str">
        <f ca="1">+WORLDCUP!BD63</f>
        <v>Sweden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Qatar</v>
      </c>
      <c r="F306" s="9" t="str">
        <f ca="1">+WORLDCUP!BD58</f>
        <v>South Korea</v>
      </c>
      <c r="G306" s="9" t="str">
        <f ca="1">+WORLDCUP!BD66</f>
        <v>Iraq</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Qatar</v>
      </c>
      <c r="F307" s="9" t="str">
        <f ca="1">+WORLDCUP!BD63</f>
        <v>Sweden</v>
      </c>
      <c r="G307" s="9" t="str">
        <f ca="1">+WORLDCUP!BD58</f>
        <v>South Korea</v>
      </c>
      <c r="H307" s="9" t="str">
        <f ca="1">+WORLDCUP!BD64</f>
        <v>Iran</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Qatar</v>
      </c>
      <c r="F308" s="9" t="str">
        <f ca="1">+WORLDCUP!BD63</f>
        <v>Sweden</v>
      </c>
      <c r="G308" s="9" t="str">
        <f ca="1">+WORLDCUP!BD58</f>
        <v>South Korea</v>
      </c>
      <c r="H308" s="9" t="str">
        <f ca="1">+WORLDCUP!BD64</f>
        <v>Iran</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Qatar</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Qatar</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Qatar</v>
      </c>
      <c r="F311" s="9" t="str">
        <f ca="1">+WORLDCUP!BD63</f>
        <v>Sweden</v>
      </c>
      <c r="G311" s="9" t="str">
        <f ca="1">+WORLDCUP!BD58</f>
        <v>South Korea</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Qatar</v>
      </c>
      <c r="F312" s="9" t="str">
        <f ca="1">+WORLDCUP!BD63</f>
        <v>Sweden</v>
      </c>
      <c r="G312" s="9" t="str">
        <f ca="1">+WORLDCUP!BD58</f>
        <v>South Korea</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Qatar</v>
      </c>
      <c r="F313" s="9" t="str">
        <f ca="1">+WORLDCUP!BD63</f>
        <v>Sweden</v>
      </c>
      <c r="G313" s="9" t="str">
        <f ca="1">+WORLDCUP!BD58</f>
        <v>South Korea</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Qatar</v>
      </c>
      <c r="F314" s="9" t="str">
        <f ca="1">+WORLDCUP!BD63</f>
        <v>Sweden</v>
      </c>
      <c r="G314" s="9" t="str">
        <f ca="1">+WORLDCUP!BD58</f>
        <v>South Korea</v>
      </c>
      <c r="H314" s="9" t="str">
        <f ca="1">+WORLDCUP!BD64</f>
        <v>Iran</v>
      </c>
      <c r="I314" s="9" t="str">
        <f ca="1">+WORLDCUP!BD62</f>
        <v>Ivory Coast</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Austria</v>
      </c>
      <c r="E315" s="9" t="str">
        <f ca="1">+WORLDCUP!BD59</f>
        <v>Qatar</v>
      </c>
      <c r="F315" s="9" t="str">
        <f ca="1">+WORLDCUP!BD61</f>
        <v>Australia</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Austria</v>
      </c>
      <c r="E316" s="9" t="str">
        <f ca="1">+WORLDCUP!BD59</f>
        <v>Qatar</v>
      </c>
      <c r="F316" s="9" t="str">
        <f ca="1">+WORLDCUP!BD61</f>
        <v>Australia</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Qatar</v>
      </c>
      <c r="F317" s="9" t="str">
        <f ca="1">+WORLDCUP!BD61</f>
        <v>Australia</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Iran</v>
      </c>
      <c r="E318" s="9" t="str">
        <f ca="1">+WORLDCUP!BD59</f>
        <v>Qatar</v>
      </c>
      <c r="F318" s="9" t="str">
        <f ca="1">+WORLDCUP!BD61</f>
        <v>Australia</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Qatar</v>
      </c>
      <c r="F319" s="9" t="str">
        <f ca="1">+WORLDCUP!BD61</f>
        <v>Australia</v>
      </c>
      <c r="G319" s="9" t="str">
        <f ca="1">+WORLDCUP!BD58</f>
        <v>South Korea</v>
      </c>
      <c r="H319" s="9" t="str">
        <f ca="1">+WORLDCUP!BD64</f>
        <v>Iran</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Qatar</v>
      </c>
      <c r="F320" s="9" t="str">
        <f ca="1">+WORLDCUP!BD61</f>
        <v>Australia</v>
      </c>
      <c r="G320" s="9" t="str">
        <f ca="1">+WORLDCUP!BD58</f>
        <v>South Korea</v>
      </c>
      <c r="H320" s="9" t="str">
        <f ca="1">+WORLDCUP!BD64</f>
        <v>Iran</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Austria</v>
      </c>
      <c r="E321" s="9" t="str">
        <f ca="1">+WORLDCUP!BD59</f>
        <v>Qatar</v>
      </c>
      <c r="F321" s="9" t="str">
        <f ca="1">+WORLDCUP!BD61</f>
        <v>Australia</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Qatar</v>
      </c>
      <c r="F322" s="9" t="str">
        <f ca="1">+WORLDCUP!BD61</f>
        <v>Australia</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Qatar</v>
      </c>
      <c r="F323" s="9" t="str">
        <f ca="1">+WORLDCUP!BD61</f>
        <v>Australia</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Qatar</v>
      </c>
      <c r="F324" s="9" t="str">
        <f ca="1">+WORLDCUP!BD61</f>
        <v>Australia</v>
      </c>
      <c r="G324" s="9" t="str">
        <f ca="1">+WORLDCUP!BD58</f>
        <v>South Korea</v>
      </c>
      <c r="H324" s="9" t="str">
        <f ca="1">+WORLDCUP!BD63</f>
        <v>Sweden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Qatar</v>
      </c>
      <c r="F325" s="9" t="str">
        <f ca="1">+WORLDCUP!BD61</f>
        <v>Australia</v>
      </c>
      <c r="G325" s="9" t="str">
        <f ca="1">+WORLDCUP!BD58</f>
        <v>South Korea</v>
      </c>
      <c r="H325" s="9" t="str">
        <f ca="1">+WORLDCUP!BD63</f>
        <v>Sweden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Qatar</v>
      </c>
      <c r="F326" s="9" t="str">
        <f ca="1">+WORLDCUP!BD61</f>
        <v>Australia</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Iran</v>
      </c>
      <c r="E327" s="9" t="str">
        <f ca="1">+WORLDCUP!BD59</f>
        <v>Qatar</v>
      </c>
      <c r="F327" s="9" t="str">
        <f ca="1">+WORLDCUP!BD61</f>
        <v>Australia</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Qatar</v>
      </c>
      <c r="F328" s="9" t="str">
        <f ca="1">+WORLDCUP!BD61</f>
        <v>Australia</v>
      </c>
      <c r="G328" s="9" t="str">
        <f ca="1">+WORLDCUP!BD58</f>
        <v>South Korea</v>
      </c>
      <c r="H328" s="9" t="str">
        <f ca="1">+WORLDCUP!BD64</f>
        <v>Iran</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Qatar</v>
      </c>
      <c r="F329" s="9" t="str">
        <f ca="1">+WORLDCUP!BD61</f>
        <v>Australia</v>
      </c>
      <c r="G329" s="9" t="str">
        <f ca="1">+WORLDCUP!BD58</f>
        <v>South Korea</v>
      </c>
      <c r="H329" s="9" t="str">
        <f ca="1">+WORLDCUP!BD64</f>
        <v>Iran</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Qatar</v>
      </c>
      <c r="F330" s="9" t="str">
        <f ca="1">+WORLDCUP!BD61</f>
        <v>Australia</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Qatar</v>
      </c>
      <c r="F331" s="9" t="str">
        <f ca="1">+WORLDCUP!BD61</f>
        <v>Australia</v>
      </c>
      <c r="G331" s="9" t="str">
        <f ca="1">+WORLDCUP!BD58</f>
        <v>South Korea</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Qatar</v>
      </c>
      <c r="F332" s="9" t="str">
        <f ca="1">+WORLDCUP!BD61</f>
        <v>Australia</v>
      </c>
      <c r="G332" s="9" t="str">
        <f ca="1">+WORLDCUP!BD58</f>
        <v>South Korea</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Qatar</v>
      </c>
      <c r="F333" s="9" t="str">
        <f ca="1">+WORLDCUP!BD61</f>
        <v>Australia</v>
      </c>
      <c r="G333" s="9" t="str">
        <f ca="1">+WORLDCUP!BD58</f>
        <v>South Korea</v>
      </c>
      <c r="H333" s="9" t="str">
        <f ca="1">+WORLDCUP!BD63</f>
        <v>Sweden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Qatar</v>
      </c>
      <c r="F334" s="9" t="str">
        <f ca="1">+WORLDCUP!BD61</f>
        <v>Australia</v>
      </c>
      <c r="G334" s="9" t="str">
        <f ca="1">+WORLDCUP!BD58</f>
        <v>South Korea</v>
      </c>
      <c r="H334" s="9" t="str">
        <f ca="1">+WORLDCUP!BD63</f>
        <v>Sweden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Qatar</v>
      </c>
      <c r="F335" s="9" t="str">
        <f ca="1">+WORLDCUP!BD61</f>
        <v>Australia</v>
      </c>
      <c r="G335" s="9" t="str">
        <f ca="1">+WORLDCUP!BD58</f>
        <v>South Korea</v>
      </c>
      <c r="H335" s="9" t="str">
        <f ca="1">+WORLDCUP!BD63</f>
        <v>Sweden</v>
      </c>
      <c r="I335" s="9" t="str">
        <f ca="1">+WORLDCUP!BD66</f>
        <v>Iraq</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Qatar</v>
      </c>
      <c r="F336" s="9" t="str">
        <f ca="1">+WORLDCUP!BD58</f>
        <v>South Korea</v>
      </c>
      <c r="G336" s="9" t="str">
        <f ca="1">+WORLDCUP!BD66</f>
        <v>Iraq</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Qatar</v>
      </c>
      <c r="F337" s="9" t="str">
        <f ca="1">+WORLDCUP!BD61</f>
        <v>Australia</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Iraq</v>
      </c>
      <c r="E338" s="9" t="str">
        <f ca="1">+WORLDCUP!BD59</f>
        <v>Qatar</v>
      </c>
      <c r="F338" s="9" t="str">
        <f ca="1">+WORLDCUP!BD61</f>
        <v>Australia</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Qatar</v>
      </c>
      <c r="F339" s="9" t="str">
        <f ca="1">+WORLDCUP!BD61</f>
        <v>Australia</v>
      </c>
      <c r="G339" s="9" t="str">
        <f ca="1">+WORLDCUP!BD58</f>
        <v>South Korea</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Qatar</v>
      </c>
      <c r="F340" s="9" t="str">
        <f ca="1">+WORLDCUP!BD61</f>
        <v>Australia</v>
      </c>
      <c r="G340" s="9" t="str">
        <f ca="1">+WORLDCUP!BD58</f>
        <v>South Korea</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Qatar</v>
      </c>
      <c r="F341" s="9" t="str">
        <f ca="1">+WORLDCUP!BD61</f>
        <v>Australia</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Qatar</v>
      </c>
      <c r="F342" s="9" t="str">
        <f ca="1">+WORLDCUP!BD58</f>
        <v>South Korea</v>
      </c>
      <c r="G342" s="9" t="str">
        <f ca="1">+WORLDCUP!BD66</f>
        <v>Iraq</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Qatar</v>
      </c>
      <c r="F343" s="9" t="str">
        <f ca="1">+WORLDCUP!BD61</f>
        <v>Australia</v>
      </c>
      <c r="G343" s="9" t="str">
        <f ca="1">+WORLDCUP!BD58</f>
        <v>South Korea</v>
      </c>
      <c r="H343" s="9" t="str">
        <f ca="1">+WORLDCUP!BD64</f>
        <v>Iran</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Qatar</v>
      </c>
      <c r="F344" s="9" t="str">
        <f ca="1">+WORLDCUP!BD61</f>
        <v>Australia</v>
      </c>
      <c r="G344" s="9" t="str">
        <f ca="1">+WORLDCUP!BD58</f>
        <v>South Korea</v>
      </c>
      <c r="H344" s="9" t="str">
        <f ca="1">+WORLDCUP!BD64</f>
        <v>Iran</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Qatar</v>
      </c>
      <c r="F345" s="9" t="str">
        <f ca="1">+WORLDCUP!BD61</f>
        <v>Australia</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Qatar</v>
      </c>
      <c r="F346" s="9" t="str">
        <f ca="1">+WORLDCUP!BD61</f>
        <v>Australia</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Qatar</v>
      </c>
      <c r="F347" s="9" t="str">
        <f ca="1">+WORLDCUP!BD61</f>
        <v>Australia</v>
      </c>
      <c r="G347" s="9" t="str">
        <f ca="1">+WORLDCUP!BD58</f>
        <v>South Korea</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Qatar</v>
      </c>
      <c r="F348" s="9" t="str">
        <f ca="1">+WORLDCUP!BD61</f>
        <v>Australia</v>
      </c>
      <c r="G348" s="9" t="str">
        <f ca="1">+WORLDCUP!BD58</f>
        <v>South Korea</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Qatar</v>
      </c>
      <c r="F349" s="9" t="str">
        <f ca="1">+WORLDCUP!BD61</f>
        <v>Australia</v>
      </c>
      <c r="G349" s="9" t="str">
        <f ca="1">+WORLDCUP!BD58</f>
        <v>South Korea</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Qatar</v>
      </c>
      <c r="F350" s="9" t="str">
        <f ca="1">+WORLDCUP!BD61</f>
        <v>Australia</v>
      </c>
      <c r="G350" s="9" t="str">
        <f ca="1">+WORLDCUP!BD58</f>
        <v>South Korea</v>
      </c>
      <c r="H350" s="9" t="str">
        <f ca="1">+WORLDCUP!BD64</f>
        <v>Iran</v>
      </c>
      <c r="I350" s="9" t="str">
        <f ca="1">+WORLDCUP!BD62</f>
        <v>Ivory Coast</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Qatar</v>
      </c>
      <c r="F351" s="9" t="str">
        <f ca="1">+WORLDCUP!BD61</f>
        <v>Australia</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Iraq</v>
      </c>
      <c r="E352" s="9" t="str">
        <f ca="1">+WORLDCUP!BD59</f>
        <v>Qatar</v>
      </c>
      <c r="F352" s="9" t="str">
        <f ca="1">+WORLDCUP!BD61</f>
        <v>Australia</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Qatar</v>
      </c>
      <c r="F353" s="9" t="str">
        <f ca="1">+WORLDCUP!BD61</f>
        <v>Australia</v>
      </c>
      <c r="G353" s="9" t="str">
        <f ca="1">+WORLDCUP!BD58</f>
        <v>South Korea</v>
      </c>
      <c r="H353" s="9" t="str">
        <f ca="1">+WORLDCUP!BD63</f>
        <v>Sweden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Qatar</v>
      </c>
      <c r="F354" s="9" t="str">
        <f ca="1">+WORLDCUP!BD61</f>
        <v>Australia</v>
      </c>
      <c r="G354" s="9" t="str">
        <f ca="1">+WORLDCUP!BD58</f>
        <v>South Korea</v>
      </c>
      <c r="H354" s="9" t="str">
        <f ca="1">+WORLDCUP!BD63</f>
        <v>Sweden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Qatar</v>
      </c>
      <c r="F355" s="9" t="str">
        <f ca="1">+WORLDCUP!BD61</f>
        <v>Australia</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Qatar</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Qatar</v>
      </c>
      <c r="F357" s="9" t="str">
        <f ca="1">+WORLDCUP!BD61</f>
        <v>Australia</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Qatar</v>
      </c>
      <c r="F358" s="9" t="str">
        <f ca="1">+WORLDCUP!BD61</f>
        <v>Australia</v>
      </c>
      <c r="G358" s="9" t="str">
        <f ca="1">+WORLDCUP!BD58</f>
        <v>South Korea</v>
      </c>
      <c r="H358" s="9" t="str">
        <f ca="1">+WORLDCUP!BD63</f>
        <v>Sweden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Qatar</v>
      </c>
      <c r="F359" s="9" t="str">
        <f ca="1">+WORLDCUP!BD61</f>
        <v>Australia</v>
      </c>
      <c r="G359" s="9" t="str">
        <f ca="1">+WORLDCUP!BD58</f>
        <v>South Korea</v>
      </c>
      <c r="H359" s="9" t="str">
        <f ca="1">+WORLDCUP!BD63</f>
        <v>Sweden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Qatar</v>
      </c>
      <c r="F360" s="9" t="str">
        <f ca="1">+WORLDCUP!BD61</f>
        <v>Australia</v>
      </c>
      <c r="G360" s="9" t="str">
        <f ca="1">+WORLDCUP!BD58</f>
        <v>South Korea</v>
      </c>
      <c r="H360" s="9" t="str">
        <f ca="1">+WORLDCUP!BD63</f>
        <v>Sweden</v>
      </c>
      <c r="I360" s="9" t="str">
        <f ca="1">+WORLDCUP!BD62</f>
        <v>Ivory Coast</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Qatar</v>
      </c>
      <c r="F361" s="9" t="str">
        <f ca="1">+WORLDCUP!BD61</f>
        <v>Australia</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Qatar</v>
      </c>
      <c r="F362" s="9" t="str">
        <f ca="1">+WORLDCUP!BD61</f>
        <v>Australia</v>
      </c>
      <c r="G362" s="9" t="str">
        <f ca="1">+WORLDCUP!BD58</f>
        <v>South Korea</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Qatar</v>
      </c>
      <c r="F363" s="9" t="str">
        <f ca="1">+WORLDCUP!BD61</f>
        <v>Australia</v>
      </c>
      <c r="G363" s="9" t="str">
        <f ca="1">+WORLDCUP!BD58</f>
        <v>South Korea</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Qatar</v>
      </c>
      <c r="F364" s="9" t="str">
        <f ca="1">+WORLDCUP!BD61</f>
        <v>Australia</v>
      </c>
      <c r="G364" s="9" t="str">
        <f ca="1">+WORLDCUP!BD58</f>
        <v>South Korea</v>
      </c>
      <c r="H364" s="9" t="str">
        <f ca="1">+WORLDCUP!BD63</f>
        <v>Sweden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Qatar</v>
      </c>
      <c r="F365" s="9" t="str">
        <f ca="1">+WORLDCUP!BD61</f>
        <v>Australia</v>
      </c>
      <c r="G365" s="9" t="str">
        <f ca="1">+WORLDCUP!BD58</f>
        <v>South Korea</v>
      </c>
      <c r="H365" s="9" t="str">
        <f ca="1">+WORLDCUP!BD63</f>
        <v>Sweden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Qatar</v>
      </c>
      <c r="F366" s="9" t="str">
        <f ca="1">+WORLDCUP!BD61</f>
        <v>Australia</v>
      </c>
      <c r="G366" s="9" t="str">
        <f ca="1">+WORLDCUP!BD58</f>
        <v>South Korea</v>
      </c>
      <c r="H366" s="9" t="str">
        <f ca="1">+WORLDCUP!BD63</f>
        <v>Sweden</v>
      </c>
      <c r="I366" s="9" t="str">
        <f ca="1">+WORLDCUP!BD66</f>
        <v>Iraq</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Qatar</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Qatar</v>
      </c>
      <c r="F368" s="9" t="str">
        <f ca="1">+WORLDCUP!BD61</f>
        <v>Australia</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Qatar</v>
      </c>
      <c r="F369" s="9" t="str">
        <f ca="1">+WORLDCUP!BD61</f>
        <v>Australia</v>
      </c>
      <c r="G369" s="9" t="str">
        <f ca="1">+WORLDCUP!BD58</f>
        <v>South Korea</v>
      </c>
      <c r="H369" s="9" t="str">
        <f ca="1">+WORLDCUP!BD63</f>
        <v>Sweden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Qatar</v>
      </c>
      <c r="F370" s="9" t="str">
        <f ca="1">+WORLDCUP!BD61</f>
        <v>Australia</v>
      </c>
      <c r="G370" s="9" t="str">
        <f ca="1">+WORLDCUP!BD58</f>
        <v>South Korea</v>
      </c>
      <c r="H370" s="9" t="str">
        <f ca="1">+WORLDCUP!BD63</f>
        <v>Sweden</v>
      </c>
      <c r="I370" s="9" t="str">
        <f ca="1">+WORLDCUP!BD62</f>
        <v>Ivory Coast</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Austria</v>
      </c>
      <c r="E371" s="9" t="str">
        <f ca="1">+WORLDCUP!BD59</f>
        <v>Qatar</v>
      </c>
      <c r="F371" s="9" t="str">
        <f ca="1">+WORLDCUP!BD60</f>
        <v>Haiti</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Austria</v>
      </c>
      <c r="E372" s="9" t="str">
        <f ca="1">+WORLDCUP!BD59</f>
        <v>Qatar</v>
      </c>
      <c r="F372" s="9" t="str">
        <f ca="1">+WORLDCUP!BD60</f>
        <v>Haiti</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Qatar</v>
      </c>
      <c r="F373" s="9" t="str">
        <f ca="1">+WORLDCUP!BD60</f>
        <v>Haiti</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Iran</v>
      </c>
      <c r="E374" s="9" t="str">
        <f ca="1">+WORLDCUP!BD59</f>
        <v>Qatar</v>
      </c>
      <c r="F374" s="9" t="str">
        <f ca="1">+WORLDCUP!BD60</f>
        <v>Haiti</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Qatar</v>
      </c>
      <c r="F375" s="9" t="str">
        <f ca="1">+WORLDCUP!BD60</f>
        <v>Haiti</v>
      </c>
      <c r="G375" s="9" t="str">
        <f ca="1">+WORLDCUP!BD58</f>
        <v>South Korea</v>
      </c>
      <c r="H375" s="9" t="str">
        <f ca="1">+WORLDCUP!BD64</f>
        <v>Iran</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Qatar</v>
      </c>
      <c r="F376" s="9" t="str">
        <f ca="1">+WORLDCUP!BD60</f>
        <v>Haiti</v>
      </c>
      <c r="G376" s="9" t="str">
        <f ca="1">+WORLDCUP!BD58</f>
        <v>South Korea</v>
      </c>
      <c r="H376" s="9" t="str">
        <f ca="1">+WORLDCUP!BD64</f>
        <v>Iran</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Austria</v>
      </c>
      <c r="E377" s="9" t="str">
        <f ca="1">+WORLDCUP!BD59</f>
        <v>Qatar</v>
      </c>
      <c r="F377" s="9" t="str">
        <f ca="1">+WORLDCUP!BD60</f>
        <v>Haiti</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Qatar</v>
      </c>
      <c r="F378" s="9" t="str">
        <f ca="1">+WORLDCUP!BD60</f>
        <v>Haiti</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Qatar</v>
      </c>
      <c r="F379" s="9" t="str">
        <f ca="1">+WORLDCUP!BD60</f>
        <v>Haiti</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Qatar</v>
      </c>
      <c r="F380" s="9" t="str">
        <f ca="1">+WORLDCUP!BD60</f>
        <v>Haiti</v>
      </c>
      <c r="G380" s="9" t="str">
        <f ca="1">+WORLDCUP!BD58</f>
        <v>South Korea</v>
      </c>
      <c r="H380" s="9" t="str">
        <f ca="1">+WORLDCUP!BD63</f>
        <v>Sweden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Qatar</v>
      </c>
      <c r="F381" s="9" t="str">
        <f ca="1">+WORLDCUP!BD60</f>
        <v>Haiti</v>
      </c>
      <c r="G381" s="9" t="str">
        <f ca="1">+WORLDCUP!BD58</f>
        <v>South Korea</v>
      </c>
      <c r="H381" s="9" t="str">
        <f ca="1">+WORLDCUP!BD63</f>
        <v>Sweden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Haiti</v>
      </c>
      <c r="D382" s="9" t="str">
        <f ca="1">+WORLDCUP!BD67</f>
        <v>Austria</v>
      </c>
      <c r="E382" s="9" t="str">
        <f ca="1">+WORLDCUP!BD59</f>
        <v>Qatar</v>
      </c>
      <c r="F382" s="9" t="str">
        <f ca="1">+WORLDCUP!BD63</f>
        <v>Sweden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Iran</v>
      </c>
      <c r="E383" s="9" t="str">
        <f ca="1">+WORLDCUP!BD59</f>
        <v>Qatar</v>
      </c>
      <c r="F383" s="9" t="str">
        <f ca="1">+WORLDCUP!BD60</f>
        <v>Haiti</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Haiti</v>
      </c>
      <c r="D384" s="9" t="str">
        <f ca="1">+WORLDCUP!BD67</f>
        <v>Austria</v>
      </c>
      <c r="E384" s="9" t="str">
        <f ca="1">+WORLDCUP!BD59</f>
        <v>Qatar</v>
      </c>
      <c r="F384" s="9" t="str">
        <f ca="1">+WORLDCUP!BD63</f>
        <v>Sweden</v>
      </c>
      <c r="G384" s="9" t="str">
        <f ca="1">+WORLDCUP!BD58</f>
        <v>South Korea</v>
      </c>
      <c r="H384" s="9" t="str">
        <f ca="1">+WORLDCUP!BD64</f>
        <v>Iran</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Haiti</v>
      </c>
      <c r="D385" s="9" t="str">
        <f ca="1">+WORLDCUP!BD67</f>
        <v>Austria</v>
      </c>
      <c r="E385" s="9" t="str">
        <f ca="1">+WORLDCUP!BD59</f>
        <v>Qatar</v>
      </c>
      <c r="F385" s="9" t="str">
        <f ca="1">+WORLDCUP!BD63</f>
        <v>Sweden</v>
      </c>
      <c r="G385" s="9" t="str">
        <f ca="1">+WORLDCUP!BD58</f>
        <v>South Korea</v>
      </c>
      <c r="H385" s="9" t="str">
        <f ca="1">+WORLDCUP!BD64</f>
        <v>Iran</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Qatar</v>
      </c>
      <c r="F386" s="9" t="str">
        <f ca="1">+WORLDCUP!BD60</f>
        <v>Haiti</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Qatar</v>
      </c>
      <c r="F387" s="9" t="str">
        <f ca="1">+WORLDCUP!BD60</f>
        <v>Haiti</v>
      </c>
      <c r="G387" s="9" t="str">
        <f ca="1">+WORLDCUP!BD58</f>
        <v>South Korea</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Qatar</v>
      </c>
      <c r="F388" s="9" t="str">
        <f ca="1">+WORLDCUP!BD60</f>
        <v>Haiti</v>
      </c>
      <c r="G388" s="9" t="str">
        <f ca="1">+WORLDCUP!BD58</f>
        <v>South Korea</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Qatar</v>
      </c>
      <c r="F389" s="9" t="str">
        <f ca="1">+WORLDCUP!BD60</f>
        <v>Haiti</v>
      </c>
      <c r="G389" s="9" t="str">
        <f ca="1">+WORLDCUP!BD58</f>
        <v>South Korea</v>
      </c>
      <c r="H389" s="9" t="str">
        <f ca="1">+WORLDCUP!BD63</f>
        <v>Sweden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Qatar</v>
      </c>
      <c r="F390" s="9" t="str">
        <f ca="1">+WORLDCUP!BD60</f>
        <v>Haiti</v>
      </c>
      <c r="G390" s="9" t="str">
        <f ca="1">+WORLDCUP!BD58</f>
        <v>South Korea</v>
      </c>
      <c r="H390" s="9" t="str">
        <f ca="1">+WORLDCUP!BD63</f>
        <v>Sweden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Qatar</v>
      </c>
      <c r="F391" s="9" t="str">
        <f ca="1">+WORLDCUP!BD60</f>
        <v>Haiti</v>
      </c>
      <c r="G391" s="9" t="str">
        <f ca="1">+WORLDCUP!BD58</f>
        <v>South Korea</v>
      </c>
      <c r="H391" s="9" t="str">
        <f ca="1">+WORLDCUP!BD63</f>
        <v>Sweden</v>
      </c>
      <c r="I391" s="9" t="str">
        <f ca="1">+WORLDCUP!BD66</f>
        <v>Iraq</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Qatar</v>
      </c>
      <c r="F392" s="9" t="str">
        <f ca="1">+WORLDCUP!BD58</f>
        <v>South Korea</v>
      </c>
      <c r="G392" s="9" t="str">
        <f ca="1">+WORLDCUP!BD66</f>
        <v>Iraq</v>
      </c>
      <c r="H392" s="9" t="str">
        <f ca="1">+WORLDCUP!BD60</f>
        <v>Haiti</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Qatar</v>
      </c>
      <c r="F393" s="9" t="str">
        <f ca="1">+WORLDCUP!BD60</f>
        <v>Haiti</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Iraq</v>
      </c>
      <c r="E394" s="9" t="str">
        <f ca="1">+WORLDCUP!BD59</f>
        <v>Qatar</v>
      </c>
      <c r="F394" s="9" t="str">
        <f ca="1">+WORLDCUP!BD60</f>
        <v>Haiti</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Qatar</v>
      </c>
      <c r="F395" s="9" t="str">
        <f ca="1">+WORLDCUP!BD60</f>
        <v>Haiti</v>
      </c>
      <c r="G395" s="9" t="str">
        <f ca="1">+WORLDCUP!BD58</f>
        <v>South Korea</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Qatar</v>
      </c>
      <c r="F396" s="9" t="str">
        <f ca="1">+WORLDCUP!BD60</f>
        <v>Haiti</v>
      </c>
      <c r="G396" s="9" t="str">
        <f ca="1">+WORLDCUP!BD58</f>
        <v>South Korea</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Qatar</v>
      </c>
      <c r="F397" s="9" t="str">
        <f ca="1">+WORLDCUP!BD60</f>
        <v>Haiti</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Qatar</v>
      </c>
      <c r="F398" s="9" t="str">
        <f ca="1">+WORLDCUP!BD58</f>
        <v>South Korea</v>
      </c>
      <c r="G398" s="9" t="str">
        <f ca="1">+WORLDCUP!BD66</f>
        <v>Iraq</v>
      </c>
      <c r="H398" s="9" t="str">
        <f ca="1">+WORLDCUP!BD60</f>
        <v>Haiti</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Qatar</v>
      </c>
      <c r="F399" s="9" t="str">
        <f ca="1">+WORLDCUP!BD60</f>
        <v>Haiti</v>
      </c>
      <c r="G399" s="9" t="str">
        <f ca="1">+WORLDCUP!BD58</f>
        <v>South Korea</v>
      </c>
      <c r="H399" s="9" t="str">
        <f ca="1">+WORLDCUP!BD64</f>
        <v>Iran</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Qatar</v>
      </c>
      <c r="F400" s="9" t="str">
        <f ca="1">+WORLDCUP!BD60</f>
        <v>Haiti</v>
      </c>
      <c r="G400" s="9" t="str">
        <f ca="1">+WORLDCUP!BD58</f>
        <v>South Korea</v>
      </c>
      <c r="H400" s="9" t="str">
        <f ca="1">+WORLDCUP!BD64</f>
        <v>Iran</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Qatar</v>
      </c>
      <c r="F401" s="9" t="str">
        <f ca="1">+WORLDCUP!BD60</f>
        <v>Haiti</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Qatar</v>
      </c>
      <c r="F402" s="9" t="str">
        <f ca="1">+WORLDCUP!BD60</f>
        <v>Haiti</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Qatar</v>
      </c>
      <c r="F403" s="9" t="str">
        <f ca="1">+WORLDCUP!BD60</f>
        <v>Haiti</v>
      </c>
      <c r="G403" s="9" t="str">
        <f ca="1">+WORLDCUP!BD58</f>
        <v>South Korea</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Qatar</v>
      </c>
      <c r="F404" s="9" t="str">
        <f ca="1">+WORLDCUP!BD60</f>
        <v>Haiti</v>
      </c>
      <c r="G404" s="9" t="str">
        <f ca="1">+WORLDCUP!BD58</f>
        <v>South Korea</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Qatar</v>
      </c>
      <c r="F405" s="9" t="str">
        <f ca="1">+WORLDCUP!BD60</f>
        <v>Haiti</v>
      </c>
      <c r="G405" s="9" t="str">
        <f ca="1">+WORLDCUP!BD58</f>
        <v>South Korea</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Qatar</v>
      </c>
      <c r="F406" s="9" t="str">
        <f ca="1">+WORLDCUP!BD60</f>
        <v>Haiti</v>
      </c>
      <c r="G406" s="9" t="str">
        <f ca="1">+WORLDCUP!BD58</f>
        <v>South Korea</v>
      </c>
      <c r="H406" s="9" t="str">
        <f ca="1">+WORLDCUP!BD64</f>
        <v>Iran</v>
      </c>
      <c r="I406" s="9" t="str">
        <f ca="1">+WORLDCUP!BD62</f>
        <v>Ivory Coast</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Qatar</v>
      </c>
      <c r="F407" s="9" t="str">
        <f ca="1">+WORLDCUP!BD60</f>
        <v>Haiti</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Iraq</v>
      </c>
      <c r="E408" s="9" t="str">
        <f ca="1">+WORLDCUP!BD59</f>
        <v>Qatar</v>
      </c>
      <c r="F408" s="9" t="str">
        <f ca="1">+WORLDCUP!BD60</f>
        <v>Haiti</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Qatar</v>
      </c>
      <c r="F409" s="9" t="str">
        <f ca="1">+WORLDCUP!BD60</f>
        <v>Haiti</v>
      </c>
      <c r="G409" s="9" t="str">
        <f ca="1">+WORLDCUP!BD58</f>
        <v>South Korea</v>
      </c>
      <c r="H409" s="9" t="str">
        <f ca="1">+WORLDCUP!BD63</f>
        <v>Sweden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Qatar</v>
      </c>
      <c r="F410" s="9" t="str">
        <f ca="1">+WORLDCUP!BD60</f>
        <v>Haiti</v>
      </c>
      <c r="G410" s="9" t="str">
        <f ca="1">+WORLDCUP!BD58</f>
        <v>South Korea</v>
      </c>
      <c r="H410" s="9" t="str">
        <f ca="1">+WORLDCUP!BD63</f>
        <v>Sweden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Qatar</v>
      </c>
      <c r="F411" s="9" t="str">
        <f ca="1">+WORLDCUP!BD60</f>
        <v>Haiti</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Qatar</v>
      </c>
      <c r="F412" s="9" t="str">
        <f ca="1">+WORLDCUP!BD60</f>
        <v>Haiti</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Qatar</v>
      </c>
      <c r="F413" s="9" t="str">
        <f ca="1">+WORLDCUP!BD60</f>
        <v>Haiti</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Qatar</v>
      </c>
      <c r="F414" s="9" t="str">
        <f ca="1">+WORLDCUP!BD60</f>
        <v>Haiti</v>
      </c>
      <c r="G414" s="9" t="str">
        <f ca="1">+WORLDCUP!BD58</f>
        <v>South Korea</v>
      </c>
      <c r="H414" s="9" t="str">
        <f ca="1">+WORLDCUP!BD63</f>
        <v>Sweden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Qatar</v>
      </c>
      <c r="F415" s="9" t="str">
        <f ca="1">+WORLDCUP!BD60</f>
        <v>Haiti</v>
      </c>
      <c r="G415" s="9" t="str">
        <f ca="1">+WORLDCUP!BD58</f>
        <v>South Korea</v>
      </c>
      <c r="H415" s="9" t="str">
        <f ca="1">+WORLDCUP!BD63</f>
        <v>Sweden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Qatar</v>
      </c>
      <c r="F416" s="9" t="str">
        <f ca="1">+WORLDCUP!BD60</f>
        <v>Haiti</v>
      </c>
      <c r="G416" s="9" t="str">
        <f ca="1">+WORLDCUP!BD58</f>
        <v>South Korea</v>
      </c>
      <c r="H416" s="9" t="str">
        <f ca="1">+WORLDCUP!BD63</f>
        <v>Sweden</v>
      </c>
      <c r="I416" s="9" t="str">
        <f ca="1">+WORLDCUP!BD62</f>
        <v>Ivory Coast</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Qatar</v>
      </c>
      <c r="F417" s="9" t="str">
        <f ca="1">+WORLDCUP!BD60</f>
        <v>Haiti</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Qatar</v>
      </c>
      <c r="F418" s="9" t="str">
        <f ca="1">+WORLDCUP!BD60</f>
        <v>Haiti</v>
      </c>
      <c r="G418" s="9" t="str">
        <f ca="1">+WORLDCUP!BD58</f>
        <v>South Korea</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Qatar</v>
      </c>
      <c r="F419" s="9" t="str">
        <f ca="1">+WORLDCUP!BD60</f>
        <v>Haiti</v>
      </c>
      <c r="G419" s="9" t="str">
        <f ca="1">+WORLDCUP!BD58</f>
        <v>South Korea</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Qatar</v>
      </c>
      <c r="F420" s="9" t="str">
        <f ca="1">+WORLDCUP!BD60</f>
        <v>Haiti</v>
      </c>
      <c r="G420" s="9" t="str">
        <f ca="1">+WORLDCUP!BD58</f>
        <v>South Korea</v>
      </c>
      <c r="H420" s="9" t="str">
        <f ca="1">+WORLDCUP!BD63</f>
        <v>Sweden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Qatar</v>
      </c>
      <c r="F421" s="9" t="str">
        <f ca="1">+WORLDCUP!BD60</f>
        <v>Haiti</v>
      </c>
      <c r="G421" s="9" t="str">
        <f ca="1">+WORLDCUP!BD58</f>
        <v>South Korea</v>
      </c>
      <c r="H421" s="9" t="str">
        <f ca="1">+WORLDCUP!BD63</f>
        <v>Sweden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Qatar</v>
      </c>
      <c r="F422" s="9" t="str">
        <f ca="1">+WORLDCUP!BD60</f>
        <v>Haiti</v>
      </c>
      <c r="G422" s="9" t="str">
        <f ca="1">+WORLDCUP!BD58</f>
        <v>South Korea</v>
      </c>
      <c r="H422" s="9" t="str">
        <f ca="1">+WORLDCUP!BD63</f>
        <v>Sweden</v>
      </c>
      <c r="I422" s="9" t="str">
        <f ca="1">+WORLDCUP!BD66</f>
        <v>Iraq</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Qatar</v>
      </c>
      <c r="F423" s="9" t="str">
        <f ca="1">+WORLDCUP!BD60</f>
        <v>Haiti</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Qatar</v>
      </c>
      <c r="F424" s="9" t="str">
        <f ca="1">+WORLDCUP!BD60</f>
        <v>Haiti</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Qatar</v>
      </c>
      <c r="F425" s="9" t="str">
        <f ca="1">+WORLDCUP!BD60</f>
        <v>Haiti</v>
      </c>
      <c r="G425" s="9" t="str">
        <f ca="1">+WORLDCUP!BD58</f>
        <v>South Korea</v>
      </c>
      <c r="H425" s="9" t="str">
        <f ca="1">+WORLDCUP!BD63</f>
        <v>Sweden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Qatar</v>
      </c>
      <c r="F426" s="9" t="str">
        <f ca="1">+WORLDCUP!BD60</f>
        <v>Haiti</v>
      </c>
      <c r="G426" s="9" t="str">
        <f ca="1">+WORLDCUP!BD58</f>
        <v>South Korea</v>
      </c>
      <c r="H426" s="9" t="str">
        <f ca="1">+WORLDCUP!BD63</f>
        <v>Sweden</v>
      </c>
      <c r="I426" s="9" t="str">
        <f ca="1">+WORLDCUP!BD62</f>
        <v>Ivory Coast</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Austria</v>
      </c>
      <c r="E427" s="9" t="str">
        <f ca="1">+WORLDCUP!BD59</f>
        <v>Qatar</v>
      </c>
      <c r="F427" s="9" t="str">
        <f ca="1">+WORLDCUP!BD60</f>
        <v>Haiti</v>
      </c>
      <c r="G427" s="9" t="str">
        <f ca="1">+WORLDCUP!BD58</f>
        <v>South Korea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Qatar</v>
      </c>
      <c r="F428" s="9" t="str">
        <f ca="1">+WORLDCUP!BD60</f>
        <v>Haiti</v>
      </c>
      <c r="G428" s="9" t="str">
        <f ca="1">+WORLDCUP!BD58</f>
        <v>South Korea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Qatar</v>
      </c>
      <c r="F429" s="9" t="str">
        <f ca="1">+WORLDCUP!BD60</f>
        <v>Haiti</v>
      </c>
      <c r="G429" s="9" t="str">
        <f ca="1">+WORLDCUP!BD58</f>
        <v>South Korea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Qatar</v>
      </c>
      <c r="F430" s="9" t="str">
        <f ca="1">+WORLDCUP!BD60</f>
        <v>Haiti</v>
      </c>
      <c r="G430" s="9" t="str">
        <f ca="1">+WORLDCUP!BD58</f>
        <v>South Korea</v>
      </c>
      <c r="H430" s="9" t="str">
        <f ca="1">+WORLDCUP!BD61</f>
        <v>Australia</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Qatar</v>
      </c>
      <c r="F431" s="9" t="str">
        <f ca="1">+WORLDCUP!BD60</f>
        <v>Haiti</v>
      </c>
      <c r="G431" s="9" t="str">
        <f ca="1">+WORLDCUP!BD58</f>
        <v>South Korea</v>
      </c>
      <c r="H431" s="9" t="str">
        <f ca="1">+WORLDCUP!BD61</f>
        <v>Australia</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Haiti</v>
      </c>
      <c r="D432" s="9" t="str">
        <f ca="1">+WORLDCUP!BD67</f>
        <v>Austria</v>
      </c>
      <c r="E432" s="9" t="str">
        <f ca="1">+WORLDCUP!BD59</f>
        <v>Qatar</v>
      </c>
      <c r="F432" s="9" t="str">
        <f ca="1">+WORLDCUP!BD61</f>
        <v>Australia</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Iran</v>
      </c>
      <c r="E433" s="9" t="str">
        <f ca="1">+WORLDCUP!BD59</f>
        <v>Qatar</v>
      </c>
      <c r="F433" s="9" t="str">
        <f ca="1">+WORLDCUP!BD60</f>
        <v>Haiti</v>
      </c>
      <c r="G433" s="9" t="str">
        <f ca="1">+WORLDCUP!BD58</f>
        <v>South Korea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Haiti</v>
      </c>
      <c r="D434" s="9" t="str">
        <f ca="1">+WORLDCUP!BD67</f>
        <v>Austria</v>
      </c>
      <c r="E434" s="9" t="str">
        <f ca="1">+WORLDCUP!BD59</f>
        <v>Qatar</v>
      </c>
      <c r="F434" s="9" t="str">
        <f ca="1">+WORLDCUP!BD61</f>
        <v>Australia</v>
      </c>
      <c r="G434" s="9" t="str">
        <f ca="1">+WORLDCUP!BD58</f>
        <v>South Korea</v>
      </c>
      <c r="H434" s="9" t="str">
        <f ca="1">+WORLDCUP!BD64</f>
        <v>Iran</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Haiti</v>
      </c>
      <c r="D435" s="9" t="str">
        <f ca="1">+WORLDCUP!BD67</f>
        <v>Austria</v>
      </c>
      <c r="E435" s="9" t="str">
        <f ca="1">+WORLDCUP!BD59</f>
        <v>Qatar</v>
      </c>
      <c r="F435" s="9" t="str">
        <f ca="1">+WORLDCUP!BD61</f>
        <v>Australia</v>
      </c>
      <c r="G435" s="9" t="str">
        <f ca="1">+WORLDCUP!BD58</f>
        <v>South Korea</v>
      </c>
      <c r="H435" s="9" t="str">
        <f ca="1">+WORLDCUP!BD64</f>
        <v>Iran</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Qatar</v>
      </c>
      <c r="F436" s="9" t="str">
        <f ca="1">+WORLDCUP!BD60</f>
        <v>Haiti</v>
      </c>
      <c r="G436" s="9" t="str">
        <f ca="1">+WORLDCUP!BD58</f>
        <v>South Korea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Qatar</v>
      </c>
      <c r="F437" s="9" t="str">
        <f ca="1">+WORLDCUP!BD60</f>
        <v>Haiti</v>
      </c>
      <c r="G437" s="9" t="str">
        <f ca="1">+WORLDCUP!BD58</f>
        <v>South Korea</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Qatar</v>
      </c>
      <c r="F438" s="9" t="str">
        <f ca="1">+WORLDCUP!BD60</f>
        <v>Haiti</v>
      </c>
      <c r="G438" s="9" t="str">
        <f ca="1">+WORLDCUP!BD58</f>
        <v>South Korea</v>
      </c>
      <c r="H438" s="9" t="str">
        <f ca="1">+WORLDCUP!BD61</f>
        <v>Australia</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Qatar</v>
      </c>
      <c r="F439" s="9" t="str">
        <f ca="1">+WORLDCUP!BD60</f>
        <v>Haiti</v>
      </c>
      <c r="G439" s="9" t="str">
        <f ca="1">+WORLDCUP!BD58</f>
        <v>South Korea</v>
      </c>
      <c r="H439" s="9" t="str">
        <f ca="1">+WORLDCUP!BD61</f>
        <v>Australia</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Qatar</v>
      </c>
      <c r="F440" s="9" t="str">
        <f ca="1">+WORLDCUP!BD60</f>
        <v>Haiti</v>
      </c>
      <c r="G440" s="9" t="str">
        <f ca="1">+WORLDCUP!BD58</f>
        <v>South Korea</v>
      </c>
      <c r="H440" s="9" t="str">
        <f ca="1">+WORLDCUP!BD61</f>
        <v>Australia</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Qatar</v>
      </c>
      <c r="F441" s="9" t="str">
        <f ca="1">+WORLDCUP!BD60</f>
        <v>Haiti</v>
      </c>
      <c r="G441" s="9" t="str">
        <f ca="1">+WORLDCUP!BD58</f>
        <v>South Korea</v>
      </c>
      <c r="H441" s="9" t="str">
        <f ca="1">+WORLDCUP!BD61</f>
        <v>Australia</v>
      </c>
      <c r="I441" s="9" t="str">
        <f ca="1">+WORLDCUP!BD66</f>
        <v>Iraq</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Haiti</v>
      </c>
      <c r="D442" s="9" t="str">
        <f ca="1">+WORLDCUP!BD67</f>
        <v>Austria</v>
      </c>
      <c r="E442" s="9" t="str">
        <f ca="1">+WORLDCUP!BD59</f>
        <v>Qatar</v>
      </c>
      <c r="F442" s="9" t="str">
        <f ca="1">+WORLDCUP!BD61</f>
        <v>Australia</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Haiti</v>
      </c>
      <c r="D443" s="9" t="str">
        <f ca="1">+WORLDCUP!BD66</f>
        <v>Iraq</v>
      </c>
      <c r="E443" s="9" t="str">
        <f ca="1">+WORLDCUP!BD59</f>
        <v>Qatar</v>
      </c>
      <c r="F443" s="9" t="str">
        <f ca="1">+WORLDCUP!BD61</f>
        <v>Australia</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Haiti</v>
      </c>
      <c r="D444" s="9" t="str">
        <f ca="1">+WORLDCUP!BD67</f>
        <v>Austria</v>
      </c>
      <c r="E444" s="9" t="str">
        <f ca="1">+WORLDCUP!BD59</f>
        <v>Qatar</v>
      </c>
      <c r="F444" s="9" t="str">
        <f ca="1">+WORLDCUP!BD61</f>
        <v>Australia</v>
      </c>
      <c r="G444" s="9" t="str">
        <f ca="1">+WORLDCUP!BD58</f>
        <v>South Korea</v>
      </c>
      <c r="H444" s="9" t="str">
        <f ca="1">+WORLDCUP!BD63</f>
        <v>Sweden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Haiti</v>
      </c>
      <c r="D445" s="9" t="str">
        <f ca="1">+WORLDCUP!BD67</f>
        <v>Austria</v>
      </c>
      <c r="E445" s="9" t="str">
        <f ca="1">+WORLDCUP!BD59</f>
        <v>Qatar</v>
      </c>
      <c r="F445" s="9" t="str">
        <f ca="1">+WORLDCUP!BD61</f>
        <v>Australia</v>
      </c>
      <c r="G445" s="9" t="str">
        <f ca="1">+WORLDCUP!BD58</f>
        <v>South Korea</v>
      </c>
      <c r="H445" s="9" t="str">
        <f ca="1">+WORLDCUP!BD63</f>
        <v>Sweden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Qatar</v>
      </c>
      <c r="F446" s="9" t="str">
        <f ca="1">+WORLDCUP!BD60</f>
        <v>Haiti</v>
      </c>
      <c r="G446" s="9" t="str">
        <f ca="1">+WORLDCUP!BD58</f>
        <v>South Korea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Haiti</v>
      </c>
      <c r="D447" s="9" t="str">
        <f ca="1">+WORLDCUP!BD67</f>
        <v>Austria</v>
      </c>
      <c r="E447" s="9" t="str">
        <f ca="1">+WORLDCUP!BD59</f>
        <v>Qatar</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Qatar</v>
      </c>
      <c r="F448" s="9" t="str">
        <f ca="1">+WORLDCUP!BD60</f>
        <v>Haiti</v>
      </c>
      <c r="G448" s="9" t="str">
        <f ca="1">+WORLDCUP!BD58</f>
        <v>South Korea</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Qatar</v>
      </c>
      <c r="F449" s="9" t="str">
        <f ca="1">+WORLDCUP!BD60</f>
        <v>Haiti</v>
      </c>
      <c r="G449" s="9" t="str">
        <f ca="1">+WORLDCUP!BD58</f>
        <v>South Korea</v>
      </c>
      <c r="H449" s="9" t="str">
        <f ca="1">+WORLDCUP!BD61</f>
        <v>Australia</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Qatar</v>
      </c>
      <c r="F450" s="9" t="str">
        <f ca="1">+WORLDCUP!BD60</f>
        <v>Haiti</v>
      </c>
      <c r="G450" s="9" t="str">
        <f ca="1">+WORLDCUP!BD58</f>
        <v>South Korea</v>
      </c>
      <c r="H450" s="9" t="str">
        <f ca="1">+WORLDCUP!BD61</f>
        <v>Australia</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Qatar</v>
      </c>
      <c r="F451" s="9" t="str">
        <f ca="1">+WORLDCUP!BD60</f>
        <v>Haiti</v>
      </c>
      <c r="G451" s="9" t="str">
        <f ca="1">+WORLDCUP!BD58</f>
        <v>South Korea</v>
      </c>
      <c r="H451" s="9" t="str">
        <f ca="1">+WORLDCUP!BD63</f>
        <v>Sweden</v>
      </c>
      <c r="I451" s="9" t="str">
        <f ca="1">+WORLDCUP!BD61</f>
        <v>Australia</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Haiti</v>
      </c>
      <c r="D452" s="9" t="str">
        <f ca="1">+WORLDCUP!BD64</f>
        <v>Iran</v>
      </c>
      <c r="E452" s="9" t="str">
        <f ca="1">+WORLDCUP!BD59</f>
        <v>Qatar</v>
      </c>
      <c r="F452" s="9" t="str">
        <f ca="1">+WORLDCUP!BD61</f>
        <v>Australia</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Haiti</v>
      </c>
      <c r="D453" s="9" t="str">
        <f ca="1">+WORLDCUP!BD64</f>
        <v>Iran</v>
      </c>
      <c r="E453" s="9" t="str">
        <f ca="1">+WORLDCUP!BD59</f>
        <v>Qatar</v>
      </c>
      <c r="F453" s="9" t="str">
        <f ca="1">+WORLDCUP!BD61</f>
        <v>Australia</v>
      </c>
      <c r="G453" s="9" t="str">
        <f ca="1">+WORLDCUP!BD58</f>
        <v>South Korea</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Haiti</v>
      </c>
      <c r="D454" s="9" t="str">
        <f ca="1">+WORLDCUP!BD64</f>
        <v>Iran</v>
      </c>
      <c r="E454" s="9" t="str">
        <f ca="1">+WORLDCUP!BD59</f>
        <v>Qatar</v>
      </c>
      <c r="F454" s="9" t="str">
        <f ca="1">+WORLDCUP!BD61</f>
        <v>Australia</v>
      </c>
      <c r="G454" s="9" t="str">
        <f ca="1">+WORLDCUP!BD58</f>
        <v>South Korea</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Haiti</v>
      </c>
      <c r="D455" s="9" t="str">
        <f ca="1">+WORLDCUP!BD64</f>
        <v>Iran</v>
      </c>
      <c r="E455" s="9" t="str">
        <f ca="1">+WORLDCUP!BD59</f>
        <v>Qatar</v>
      </c>
      <c r="F455" s="9" t="str">
        <f ca="1">+WORLDCUP!BD61</f>
        <v>Australia</v>
      </c>
      <c r="G455" s="9" t="str">
        <f ca="1">+WORLDCUP!BD58</f>
        <v>South Korea</v>
      </c>
      <c r="H455" s="9" t="str">
        <f ca="1">+WORLDCUP!BD63</f>
        <v>Sweden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Haiti</v>
      </c>
      <c r="D456" s="9" t="str">
        <f ca="1">+WORLDCUP!BD64</f>
        <v>Iran</v>
      </c>
      <c r="E456" s="9" t="str">
        <f ca="1">+WORLDCUP!BD59</f>
        <v>Qatar</v>
      </c>
      <c r="F456" s="9" t="str">
        <f ca="1">+WORLDCUP!BD61</f>
        <v>Australia</v>
      </c>
      <c r="G456" s="9" t="str">
        <f ca="1">+WORLDCUP!BD58</f>
        <v>South Korea</v>
      </c>
      <c r="H456" s="9" t="str">
        <f ca="1">+WORLDCUP!BD63</f>
        <v>Sweden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Haiti</v>
      </c>
      <c r="D457" s="9" t="str">
        <f ca="1">+WORLDCUP!BD64</f>
        <v>Iran</v>
      </c>
      <c r="E457" s="9" t="str">
        <f ca="1">+WORLDCUP!BD59</f>
        <v>Qatar</v>
      </c>
      <c r="F457" s="9" t="str">
        <f ca="1">+WORLDCUP!BD61</f>
        <v>Australia</v>
      </c>
      <c r="G457" s="9" t="str">
        <f ca="1">+WORLDCUP!BD58</f>
        <v>South Korea</v>
      </c>
      <c r="H457" s="9" t="str">
        <f ca="1">+WORLDCUP!BD63</f>
        <v>Sweden</v>
      </c>
      <c r="I457" s="9" t="str">
        <f ca="1">+WORLDCUP!BD66</f>
        <v>Iraq</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Haiti</v>
      </c>
      <c r="D458" s="9" t="str">
        <f ca="1">+WORLDCUP!BD64</f>
        <v>Iran</v>
      </c>
      <c r="E458" s="9" t="str">
        <f ca="1">+WORLDCUP!BD59</f>
        <v>Qatar</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Qatar</v>
      </c>
      <c r="F459" s="9" t="str">
        <f ca="1">+WORLDCUP!BD60</f>
        <v>Haiti</v>
      </c>
      <c r="G459" s="9" t="str">
        <f ca="1">+WORLDCUP!BD58</f>
        <v>South Korea</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Qatar</v>
      </c>
      <c r="F460" s="9" t="str">
        <f ca="1">+WORLDCUP!BD60</f>
        <v>Haiti</v>
      </c>
      <c r="G460" s="9" t="str">
        <f ca="1">+WORLDCUP!BD58</f>
        <v>South Korea</v>
      </c>
      <c r="H460" s="9" t="str">
        <f ca="1">+WORLDCUP!BD63</f>
        <v>Sweden</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Qatar</v>
      </c>
      <c r="F461" s="9" t="str">
        <f ca="1">+WORLDCUP!BD60</f>
        <v>Haiti</v>
      </c>
      <c r="G461" s="9" t="str">
        <f ca="1">+WORLDCUP!BD58</f>
        <v>South Korea</v>
      </c>
      <c r="H461" s="9" t="str">
        <f ca="1">+WORLDCUP!BD63</f>
        <v>Sweden</v>
      </c>
      <c r="I461" s="9" t="str">
        <f ca="1">+WORLDCUP!BD61</f>
        <v>Australia</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Austria</v>
      </c>
      <c r="E462" s="9" t="str">
        <f ca="1">+WORLDCUP!BD59</f>
        <v>Qatar</v>
      </c>
      <c r="F462" s="9" t="str">
        <f ca="1">+WORLDCUP!BD60</f>
        <v>Haiti</v>
      </c>
      <c r="G462" s="9" t="str">
        <f ca="1">+WORLDCUP!BD58</f>
        <v>South Korea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Iraq</v>
      </c>
      <c r="E463" s="9" t="str">
        <f ca="1">+WORLDCUP!BD59</f>
        <v>Qatar</v>
      </c>
      <c r="F463" s="9" t="str">
        <f ca="1">+WORLDCUP!BD60</f>
        <v>Haiti</v>
      </c>
      <c r="G463" s="9" t="str">
        <f ca="1">+WORLDCUP!BD58</f>
        <v>South Korea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Qatar</v>
      </c>
      <c r="F464" s="9" t="str">
        <f ca="1">+WORLDCUP!BD60</f>
        <v>Haiti</v>
      </c>
      <c r="G464" s="9" t="str">
        <f ca="1">+WORLDCUP!BD58</f>
        <v>South Korea</v>
      </c>
      <c r="H464" s="9" t="str">
        <f ca="1">+WORLDCUP!BD61</f>
        <v>Australia</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Qatar</v>
      </c>
      <c r="F465" s="9" t="str">
        <f ca="1">+WORLDCUP!BD60</f>
        <v>Haiti</v>
      </c>
      <c r="G465" s="9" t="str">
        <f ca="1">+WORLDCUP!BD58</f>
        <v>South Korea</v>
      </c>
      <c r="H465" s="9" t="str">
        <f ca="1">+WORLDCUP!BD61</f>
        <v>Australia</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Qatar</v>
      </c>
      <c r="F466" s="9" t="str">
        <f ca="1">+WORLDCUP!BD60</f>
        <v>Haiti</v>
      </c>
      <c r="G466" s="9" t="str">
        <f ca="1">+WORLDCUP!BD58</f>
        <v>South Korea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Qatar</v>
      </c>
      <c r="F467" s="9" t="str">
        <f ca="1">+WORLDCUP!BD60</f>
        <v>Haiti</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Qatar</v>
      </c>
      <c r="F468" s="9" t="str">
        <f ca="1">+WORLDCUP!BD60</f>
        <v>Haiti</v>
      </c>
      <c r="G468" s="9" t="str">
        <f ca="1">+WORLDCUP!BD58</f>
        <v>South Korea</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Qatar</v>
      </c>
      <c r="F469" s="9" t="str">
        <f ca="1">+WORLDCUP!BD60</f>
        <v>Haiti</v>
      </c>
      <c r="G469" s="9" t="str">
        <f ca="1">+WORLDCUP!BD58</f>
        <v>South Korea</v>
      </c>
      <c r="H469" s="9" t="str">
        <f ca="1">+WORLDCUP!BD61</f>
        <v>Australia</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Qatar</v>
      </c>
      <c r="F470" s="9" t="str">
        <f ca="1">+WORLDCUP!BD60</f>
        <v>Haiti</v>
      </c>
      <c r="G470" s="9" t="str">
        <f ca="1">+WORLDCUP!BD58</f>
        <v>South Korea</v>
      </c>
      <c r="H470" s="9" t="str">
        <f ca="1">+WORLDCUP!BD61</f>
        <v>Australia</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Qatar</v>
      </c>
      <c r="F471" s="9" t="str">
        <f ca="1">+WORLDCUP!BD60</f>
        <v>Haiti</v>
      </c>
      <c r="G471" s="9" t="str">
        <f ca="1">+WORLDCUP!BD58</f>
        <v>South Korea</v>
      </c>
      <c r="H471" s="9" t="str">
        <f ca="1">+WORLDCUP!BD61</f>
        <v>Australia</v>
      </c>
      <c r="I471" s="9" t="str">
        <f ca="1">+WORLDCUP!BD62</f>
        <v>Ivory Coast</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Qatar</v>
      </c>
      <c r="F472" s="9" t="str">
        <f ca="1">+WORLDCUP!BD60</f>
        <v>Haiti</v>
      </c>
      <c r="G472" s="9" t="str">
        <f ca="1">+WORLDCUP!BD58</f>
        <v>South Korea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Qatar</v>
      </c>
      <c r="F473" s="9" t="str">
        <f ca="1">+WORLDCUP!BD60</f>
        <v>Haiti</v>
      </c>
      <c r="G473" s="9" t="str">
        <f ca="1">+WORLDCUP!BD58</f>
        <v>South Korea</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Qatar</v>
      </c>
      <c r="F474" s="9" t="str">
        <f ca="1">+WORLDCUP!BD60</f>
        <v>Haiti</v>
      </c>
      <c r="G474" s="9" t="str">
        <f ca="1">+WORLDCUP!BD58</f>
        <v>South Korea</v>
      </c>
      <c r="H474" s="9" t="str">
        <f ca="1">+WORLDCUP!BD61</f>
        <v>Australia</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Qatar</v>
      </c>
      <c r="F475" s="9" t="str">
        <f ca="1">+WORLDCUP!BD60</f>
        <v>Haiti</v>
      </c>
      <c r="G475" s="9" t="str">
        <f ca="1">+WORLDCUP!BD58</f>
        <v>South Korea</v>
      </c>
      <c r="H475" s="9" t="str">
        <f ca="1">+WORLDCUP!BD61</f>
        <v>Australia</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Qatar</v>
      </c>
      <c r="F476" s="9" t="str">
        <f ca="1">+WORLDCUP!BD60</f>
        <v>Haiti</v>
      </c>
      <c r="G476" s="9" t="str">
        <f ca="1">+WORLDCUP!BD58</f>
        <v>South Korea</v>
      </c>
      <c r="H476" s="9" t="str">
        <f ca="1">+WORLDCUP!BD61</f>
        <v>Australia</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Qatar</v>
      </c>
      <c r="F477" s="9" t="str">
        <f ca="1">+WORLDCUP!BD60</f>
        <v>Haiti</v>
      </c>
      <c r="G477" s="9" t="str">
        <f ca="1">+WORLDCUP!BD58</f>
        <v>South Korea</v>
      </c>
      <c r="H477" s="9" t="str">
        <f ca="1">+WORLDCUP!BD61</f>
        <v>Australia</v>
      </c>
      <c r="I477" s="9" t="str">
        <f ca="1">+WORLDCUP!BD66</f>
        <v>Iraq</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Qatar</v>
      </c>
      <c r="F478" s="9" t="str">
        <f ca="1">+WORLDCUP!BD60</f>
        <v>Haiti</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Qatar</v>
      </c>
      <c r="F479" s="9" t="str">
        <f ca="1">+WORLDCUP!BD60</f>
        <v>Haiti</v>
      </c>
      <c r="G479" s="9" t="str">
        <f ca="1">+WORLDCUP!BD58</f>
        <v>South Korea</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Qatar</v>
      </c>
      <c r="F480" s="9" t="str">
        <f ca="1">+WORLDCUP!BD60</f>
        <v>Haiti</v>
      </c>
      <c r="G480" s="9" t="str">
        <f ca="1">+WORLDCUP!BD58</f>
        <v>South Korea</v>
      </c>
      <c r="H480" s="9" t="str">
        <f ca="1">+WORLDCUP!BD61</f>
        <v>Australia</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Qatar</v>
      </c>
      <c r="F481" s="9" t="str">
        <f ca="1">+WORLDCUP!BD60</f>
        <v>Haiti</v>
      </c>
      <c r="G481" s="9" t="str">
        <f ca="1">+WORLDCUP!BD58</f>
        <v>South Korea</v>
      </c>
      <c r="H481" s="9" t="str">
        <f ca="1">+WORLDCUP!BD61</f>
        <v>Australia</v>
      </c>
      <c r="I481" s="9" t="str">
        <f ca="1">+WORLDCUP!BD62</f>
        <v>Ivory Coast</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Haiti</v>
      </c>
      <c r="D482" s="9" t="str">
        <f ca="1">+WORLDCUP!BD62</f>
        <v>Ivory Coast</v>
      </c>
      <c r="E482" s="9" t="str">
        <f ca="1">+WORLDCUP!BD59</f>
        <v>Qatar</v>
      </c>
      <c r="F482" s="9" t="str">
        <f ca="1">+WORLDCUP!BD61</f>
        <v>Australia</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Haiti</v>
      </c>
      <c r="D483" s="9" t="str">
        <f ca="1">+WORLDCUP!BD67</f>
        <v>Austria</v>
      </c>
      <c r="E483" s="9" t="str">
        <f ca="1">+WORLDCUP!BD59</f>
        <v>Qatar</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Haiti</v>
      </c>
      <c r="D484" s="9" t="str">
        <f ca="1">+WORLDCUP!BD67</f>
        <v>Austria</v>
      </c>
      <c r="E484" s="9" t="str">
        <f ca="1">+WORLDCUP!BD59</f>
        <v>Qatar</v>
      </c>
      <c r="F484" s="9" t="str">
        <f ca="1">+WORLDCUP!BD61</f>
        <v>Australia</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Haiti</v>
      </c>
      <c r="D485" s="9" t="str">
        <f ca="1">+WORLDCUP!BD62</f>
        <v>Ivory Coast</v>
      </c>
      <c r="E485" s="9" t="str">
        <f ca="1">+WORLDCUP!BD59</f>
        <v>Qatar</v>
      </c>
      <c r="F485" s="9" t="str">
        <f ca="1">+WORLDCUP!BD61</f>
        <v>Australia</v>
      </c>
      <c r="G485" s="9" t="str">
        <f ca="1">+WORLDCUP!BD58</f>
        <v>South Korea</v>
      </c>
      <c r="H485" s="9" t="str">
        <f ca="1">+WORLDCUP!BD63</f>
        <v>Sweden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Haiti</v>
      </c>
      <c r="D486" s="9" t="str">
        <f ca="1">+WORLDCUP!BD62</f>
        <v>Ivory Coast</v>
      </c>
      <c r="E486" s="9" t="str">
        <f ca="1">+WORLDCUP!BD59</f>
        <v>Qatar</v>
      </c>
      <c r="F486" s="9" t="str">
        <f ca="1">+WORLDCUP!BD61</f>
        <v>Australia</v>
      </c>
      <c r="G486" s="9" t="str">
        <f ca="1">+WORLDCUP!BD58</f>
        <v>South Korea</v>
      </c>
      <c r="H486" s="9" t="str">
        <f ca="1">+WORLDCUP!BD63</f>
        <v>Sweden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Haiti</v>
      </c>
      <c r="D487" s="9" t="str">
        <f ca="1">+WORLDCUP!BD67</f>
        <v>Austria</v>
      </c>
      <c r="E487" s="9" t="str">
        <f ca="1">+WORLDCUP!BD59</f>
        <v>Qatar</v>
      </c>
      <c r="F487" s="9" t="str">
        <f ca="1">+WORLDCUP!BD61</f>
        <v>Australia</v>
      </c>
      <c r="G487" s="9" t="str">
        <f ca="1">+WORLDCUP!BD58</f>
        <v>South Korea</v>
      </c>
      <c r="H487" s="9" t="str">
        <f ca="1">+WORLDCUP!BD63</f>
        <v>Sweden</v>
      </c>
      <c r="I487" s="9" t="str">
        <f ca="1">+WORLDCUP!BD62</f>
        <v>Ivory Coast</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Qatar</v>
      </c>
      <c r="F488" s="9" t="str">
        <f ca="1">+WORLDCUP!BD60</f>
        <v>Haiti</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Qatar</v>
      </c>
      <c r="F489" s="9" t="str">
        <f ca="1">+WORLDCUP!BD60</f>
        <v>Haiti</v>
      </c>
      <c r="G489" s="9" t="str">
        <f ca="1">+WORLDCUP!BD58</f>
        <v>South Korea</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Qatar</v>
      </c>
      <c r="F490" s="9" t="str">
        <f ca="1">+WORLDCUP!BD60</f>
        <v>Haiti</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Qatar</v>
      </c>
      <c r="F491" s="9" t="str">
        <f ca="1">+WORLDCUP!BD60</f>
        <v>Haiti</v>
      </c>
      <c r="G491" s="9" t="str">
        <f ca="1">+WORLDCUP!BD58</f>
        <v>South Korea</v>
      </c>
      <c r="H491" s="9" t="str">
        <f ca="1">+WORLDCUP!BD63</f>
        <v>Sweden</v>
      </c>
      <c r="I491" s="9" t="str">
        <f ca="1">+WORLDCUP!BD61</f>
        <v>Australia</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Haiti</v>
      </c>
      <c r="D492" s="9" t="str">
        <f ca="1">+WORLDCUP!BD64</f>
        <v>Iran</v>
      </c>
      <c r="E492" s="9" t="str">
        <f ca="1">+WORLDCUP!BD59</f>
        <v>Qatar</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Haiti</v>
      </c>
      <c r="D493" s="9" t="str">
        <f ca="1">+WORLDCUP!BD64</f>
        <v>Iran</v>
      </c>
      <c r="E493" s="9" t="str">
        <f ca="1">+WORLDCUP!BD59</f>
        <v>Qatar</v>
      </c>
      <c r="F493" s="9" t="str">
        <f ca="1">+WORLDCUP!BD61</f>
        <v>Australia</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Haiti</v>
      </c>
      <c r="D494" s="9" t="str">
        <f ca="1">+WORLDCUP!BD64</f>
        <v>Iran</v>
      </c>
      <c r="E494" s="9" t="str">
        <f ca="1">+WORLDCUP!BD59</f>
        <v>Qatar</v>
      </c>
      <c r="F494" s="9" t="str">
        <f ca="1">+WORLDCUP!BD61</f>
        <v>Australia</v>
      </c>
      <c r="G494" s="9" t="str">
        <f ca="1">+WORLDCUP!BD58</f>
        <v>South Korea</v>
      </c>
      <c r="H494" s="9" t="str">
        <f ca="1">+WORLDCUP!BD63</f>
        <v>Sweden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Haiti</v>
      </c>
      <c r="D495" s="9" t="str">
        <f ca="1">+WORLDCUP!BD64</f>
        <v>Iran</v>
      </c>
      <c r="E495" s="9" t="str">
        <f ca="1">+WORLDCUP!BD59</f>
        <v>Qatar</v>
      </c>
      <c r="F495" s="9" t="str">
        <f ca="1">+WORLDCUP!BD61</f>
        <v>Australia</v>
      </c>
      <c r="G495" s="9" t="str">
        <f ca="1">+WORLDCUP!BD58</f>
        <v>South Korea</v>
      </c>
      <c r="H495" s="9" t="str">
        <f ca="1">+WORLDCUP!BD63</f>
        <v>Sweden</v>
      </c>
      <c r="I495" s="9" t="str">
        <f ca="1">+WORLDCUP!BD62</f>
        <v>Ivory Coast</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Qatar</v>
      </c>
      <c r="F496" s="9" t="str">
        <f ca="1">+WORLDCUP!BD60</f>
        <v>Haiti</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Faltan partidos</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75">
      <c r="L89" s="3"/>
      <c r="M89" s="3"/>
      <c r="N89" s="3"/>
      <c r="O89" s="6"/>
      <c r="P89" s="6"/>
      <c r="Q89" s="6"/>
      <c r="R89" s="6"/>
      <c r="T89" s="16" t="s">
        <v>1480</v>
      </c>
      <c r="U89" s="9" t="s">
        <v>1467</v>
      </c>
      <c r="V89" s="9" t="s">
        <v>1467</v>
      </c>
      <c r="W89" s="585" t="s">
        <v>1469</v>
      </c>
      <c r="X89" s="584" t="e" vm="51">
        <v>#VALUE!</v>
      </c>
      <c r="Y89" s="9">
        <v>-4</v>
      </c>
      <c r="Z89" s="6"/>
      <c r="AA89" s="6"/>
      <c r="AB89" s="6"/>
    </row>
    <row r="90" spans="12:28" ht="15.75">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1514</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1511</v>
      </c>
      <c r="FA6161" s="16" t="s">
        <v>1512</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1505</v>
      </c>
      <c r="FA6163" s="16" t="s">
        <v>1506</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1499</v>
      </c>
      <c r="FA6164" s="16" t="s">
        <v>1500</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1502</v>
      </c>
      <c r="FA6165" s="16" t="s">
        <v>1503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1508</v>
      </c>
      <c r="FA6166" s="16" t="s">
        <v>1509</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3">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4">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5">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6">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7">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8">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59">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0">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1">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2">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3">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4">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5">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6">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7">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8">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69">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0">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2">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3">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4">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5">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6">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7">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8">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79">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0">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1">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2">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3">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4">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5">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6">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7">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8">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89">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0">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1">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2">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3">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1513</v>
      </c>
      <c r="M44" s="620" t="e" vm="94">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5">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1507</v>
      </c>
      <c r="M46" s="621" t="e" vm="96">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1501</v>
      </c>
      <c r="M47" s="620" t="e" vm="97">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1504</v>
      </c>
      <c r="M48" s="620" t="e" vm="98">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1510</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Ron van Deursen</cp:lastModifiedBy>
  <cp:lastPrinted>2018-12-06T18:06:35Z</cp:lastPrinted>
  <dcterms:created xsi:type="dcterms:W3CDTF">2015-10-31T09:41:54Z</dcterms:created>
  <dcterms:modified xsi:type="dcterms:W3CDTF">2026-05-03T19:28:36Z</dcterms:modified>
</cp:coreProperties>
</file>