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G:\Documents\02 Ron\0. EK 2024\Programma\"/>
    </mc:Choice>
  </mc:AlternateContent>
  <xr:revisionPtr revIDLastSave="0" documentId="13_ncr:1_{0DF4DD88-340A-428B-A9FE-28D19865B108}" xr6:coauthVersionLast="47" xr6:coauthVersionMax="47" xr10:uidLastSave="{00000000-0000-0000-0000-000000000000}"/>
  <workbookProtection workbookAlgorithmName="SHA-512" workbookHashValue="6HiMdboFQP1kYwzDpXakkw7y46d3YN1SMcwLYjuknNhEk9KtVS3Aeap8mPExXVEZAv7Q5NZduU2M04YPjSFN0w==" workbookSaltValue="O/L70+x8waGlwGQIjdpwJg==" workbookSpinCount="100000" lockStructure="1"/>
  <bookViews>
    <workbookView xWindow="-28920" yWindow="-120" windowWidth="29040" windowHeight="15720" firstSheet="4" activeTab="4"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 name="DEENAMECODE">Deelnamecode!$C$137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2" i="63"/>
  <c r="C133" i="63"/>
  <c r="C132" i="63"/>
  <c r="C101" i="63"/>
  <c r="C135" i="63"/>
  <c r="D132" i="63" l="1"/>
  <c r="D133" i="63"/>
  <c r="D101" i="63"/>
  <c r="D102" i="63"/>
  <c r="A197" i="63"/>
  <c r="A165" i="63"/>
  <c r="A104" i="63"/>
  <c r="BA115" i="34"/>
  <c r="D135" i="63"/>
  <c r="A228" i="63"/>
  <c r="A260" i="63" s="1"/>
  <c r="A136" i="63"/>
  <c r="C164" i="63"/>
  <c r="C103" i="63"/>
  <c r="C136" i="63"/>
  <c r="C260" i="63"/>
  <c r="C196" i="63"/>
  <c r="D164" i="63" l="1"/>
  <c r="D196" i="63"/>
  <c r="D103" i="63"/>
  <c r="A166" i="63"/>
  <c r="A198" i="63"/>
  <c r="A229" i="63"/>
  <c r="A105" i="63"/>
  <c r="BA116" i="34"/>
  <c r="AB76" i="34"/>
  <c r="AB88" i="34" s="1"/>
  <c r="AB75" i="34"/>
  <c r="AB87" i="34" s="1"/>
  <c r="D136" i="63"/>
  <c r="D260" i="63"/>
  <c r="A261" i="63"/>
  <c r="A292" i="63"/>
  <c r="A230" i="63"/>
  <c r="A137" i="63"/>
  <c r="C261" i="63"/>
  <c r="C165" i="63"/>
  <c r="C197" i="63"/>
  <c r="C229" i="63"/>
  <c r="C137" i="63"/>
  <c r="C104" i="63"/>
  <c r="C228" i="63"/>
  <c r="C292" i="63"/>
  <c r="D104" i="63" l="1"/>
  <c r="D228" i="63"/>
  <c r="D197" i="63"/>
  <c r="D165" i="63"/>
  <c r="A106" i="63"/>
  <c r="A199" i="63"/>
  <c r="A167" i="63"/>
  <c r="BA117" i="34"/>
  <c r="AB77" i="34"/>
  <c r="AB89" i="34" s="1"/>
  <c r="D137" i="63"/>
  <c r="D292" i="63"/>
  <c r="D261" i="63"/>
  <c r="A324" i="63"/>
  <c r="A293" i="63"/>
  <c r="A262" i="63"/>
  <c r="D229" i="63"/>
  <c r="A231" i="63"/>
  <c r="A138" i="63"/>
  <c r="C166" i="63"/>
  <c r="C138" i="63"/>
  <c r="C293" i="63"/>
  <c r="C324" i="63"/>
  <c r="C105" i="63"/>
  <c r="C262" i="63"/>
  <c r="C230" i="63"/>
  <c r="C198" i="63"/>
  <c r="D105" i="63" l="1"/>
  <c r="D166" i="63"/>
  <c r="D198" i="63"/>
  <c r="A168" i="63"/>
  <c r="A107" i="63"/>
  <c r="A200" i="63"/>
  <c r="BA118" i="34"/>
  <c r="AB78" i="34"/>
  <c r="AB90" i="34" s="1"/>
  <c r="D138" i="63"/>
  <c r="D262" i="63"/>
  <c r="D293" i="63"/>
  <c r="D324" i="63"/>
  <c r="A263" i="63"/>
  <c r="A294" i="63"/>
  <c r="A325" i="63"/>
  <c r="A356" i="63"/>
  <c r="D230" i="63"/>
  <c r="A232" i="63"/>
  <c r="A139" i="63"/>
  <c r="C356" i="63"/>
  <c r="C325" i="63"/>
  <c r="C263" i="63"/>
  <c r="C139" i="63"/>
  <c r="C294" i="63"/>
  <c r="C199" i="63"/>
  <c r="C106" i="63"/>
  <c r="C231" i="63"/>
  <c r="C167"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00" i="63"/>
  <c r="C232" i="63"/>
  <c r="C357" i="63"/>
  <c r="C326" i="63"/>
  <c r="C388" i="63"/>
  <c r="C264" i="63"/>
  <c r="C140" i="63"/>
  <c r="C107" i="63"/>
  <c r="C295" i="63"/>
  <c r="C168"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65" i="63"/>
  <c r="C358" i="63"/>
  <c r="C389" i="63"/>
  <c r="C169" i="63"/>
  <c r="C141" i="63"/>
  <c r="C327" i="63"/>
  <c r="C108" i="63"/>
  <c r="C201" i="63"/>
  <c r="C233" i="63"/>
  <c r="C296"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09" i="63"/>
  <c r="C297" i="63"/>
  <c r="C142" i="63"/>
  <c r="C170" i="63"/>
  <c r="C390" i="63"/>
  <c r="C328" i="63"/>
  <c r="C266" i="63"/>
  <c r="C234" i="63"/>
  <c r="C359" i="63"/>
  <c r="C202" i="63"/>
  <c r="D109" i="63" l="1"/>
  <c r="D170" i="63"/>
  <c r="D202" i="63"/>
  <c r="A111" i="63"/>
  <c r="A204" i="63"/>
  <c r="AB96" i="34"/>
  <c r="A172" i="63"/>
  <c r="BA122" i="34"/>
  <c r="D297" i="63"/>
  <c r="D390" i="63"/>
  <c r="D328" i="63"/>
  <c r="D142" i="63"/>
  <c r="D359" i="63"/>
  <c r="D266" i="63"/>
  <c r="A298" i="63"/>
  <c r="A391" i="63"/>
  <c r="A329" i="63"/>
  <c r="A360" i="63"/>
  <c r="A267" i="63"/>
  <c r="D234" i="63"/>
  <c r="A236" i="63"/>
  <c r="A143" i="63"/>
  <c r="C203" i="63"/>
  <c r="C391" i="63"/>
  <c r="C298" i="63"/>
  <c r="C235" i="63"/>
  <c r="C143" i="63"/>
  <c r="C360" i="63"/>
  <c r="C267" i="63"/>
  <c r="C110" i="63"/>
  <c r="C171" i="63"/>
  <c r="C329"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111" i="63"/>
  <c r="C204" i="63"/>
  <c r="C330" i="63"/>
  <c r="C268" i="63"/>
  <c r="C361" i="63"/>
  <c r="C299" i="63"/>
  <c r="C392" i="63"/>
  <c r="C172" i="63"/>
  <c r="C236" i="63"/>
  <c r="D204" i="63" l="1"/>
  <c r="D111" i="63"/>
  <c r="D172" i="63"/>
  <c r="A113" i="63"/>
  <c r="A174" i="63"/>
  <c r="A206" i="63"/>
  <c r="BA124" i="34"/>
  <c r="D268" i="63"/>
  <c r="D361" i="63"/>
  <c r="D299" i="63"/>
  <c r="D144" i="63"/>
  <c r="D392" i="63"/>
  <c r="D330" i="63"/>
  <c r="A269" i="63"/>
  <c r="A362" i="63"/>
  <c r="A300" i="63"/>
  <c r="A393" i="63"/>
  <c r="A331" i="63"/>
  <c r="D236" i="63"/>
  <c r="A238" i="63"/>
  <c r="A145" i="63"/>
  <c r="P72" i="25"/>
  <c r="C145" i="63"/>
  <c r="C393" i="63"/>
  <c r="C362" i="63"/>
  <c r="C205" i="63"/>
  <c r="C331" i="63"/>
  <c r="C269" i="63"/>
  <c r="C173" i="63"/>
  <c r="C300" i="63"/>
  <c r="C112" i="63"/>
  <c r="C237" i="63"/>
  <c r="D205" i="63" l="1"/>
  <c r="D173" i="63"/>
  <c r="D112" i="63"/>
  <c r="A175" i="63"/>
  <c r="A114" i="63"/>
  <c r="A207" i="63"/>
  <c r="BA125" i="34"/>
  <c r="D362" i="63"/>
  <c r="D393" i="63"/>
  <c r="D269" i="63"/>
  <c r="D145" i="63"/>
  <c r="D331" i="63"/>
  <c r="D300" i="63"/>
  <c r="A363" i="63"/>
  <c r="A394" i="63"/>
  <c r="A270" i="63"/>
  <c r="A332" i="63"/>
  <c r="A301" i="63"/>
  <c r="D237" i="63"/>
  <c r="A239" i="63"/>
  <c r="A146" i="63"/>
  <c r="C146" i="63"/>
  <c r="C113" i="63"/>
  <c r="C238" i="63"/>
  <c r="C301" i="63"/>
  <c r="C363" i="63"/>
  <c r="C174" i="63"/>
  <c r="C394" i="63"/>
  <c r="C206" i="63"/>
  <c r="C270"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114" i="63"/>
  <c r="C271" i="63"/>
  <c r="C147" i="63"/>
  <c r="C333" i="63"/>
  <c r="C175" i="63"/>
  <c r="C239" i="63"/>
  <c r="C302" i="63"/>
  <c r="C395" i="63"/>
  <c r="C364" i="63"/>
  <c r="C20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76" i="63"/>
  <c r="C396" i="63"/>
  <c r="C272" i="63"/>
  <c r="C365" i="63"/>
  <c r="C240" i="63"/>
  <c r="C334" i="63"/>
  <c r="C148" i="63"/>
  <c r="C303" i="63"/>
  <c r="C115" i="63"/>
  <c r="C208" i="63"/>
  <c r="D115" i="63" l="1"/>
  <c r="D176" i="63"/>
  <c r="D208" i="63"/>
  <c r="A210" i="63"/>
  <c r="A117" i="63"/>
  <c r="A178" i="63"/>
  <c r="BA128" i="34"/>
  <c r="D334" i="63"/>
  <c r="D148" i="63"/>
  <c r="D303" i="63"/>
  <c r="D272" i="63"/>
  <c r="D365" i="63"/>
  <c r="D396" i="63"/>
  <c r="A335" i="63"/>
  <c r="A304" i="63"/>
  <c r="A273" i="63"/>
  <c r="A366" i="63"/>
  <c r="A397" i="63"/>
  <c r="D240" i="63"/>
  <c r="A242" i="63"/>
  <c r="A149" i="63"/>
  <c r="C304" i="63"/>
  <c r="C335" i="63"/>
  <c r="C366" i="63"/>
  <c r="C177" i="63"/>
  <c r="C273" i="63"/>
  <c r="C149" i="63"/>
  <c r="C241" i="63"/>
  <c r="C209" i="63"/>
  <c r="C397" i="63"/>
  <c r="C11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274" i="63"/>
  <c r="C336" i="63"/>
  <c r="C242" i="63"/>
  <c r="C150" i="63"/>
  <c r="C305" i="63"/>
  <c r="C398" i="63"/>
  <c r="C210" i="63"/>
  <c r="C367" i="63"/>
  <c r="C11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51" i="63"/>
  <c r="C337" i="63"/>
  <c r="C179" i="63"/>
  <c r="C368" i="63"/>
  <c r="C243" i="63"/>
  <c r="C275" i="63"/>
  <c r="C306" i="63"/>
  <c r="C399" i="63"/>
  <c r="C211" i="63"/>
  <c r="C118"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19" i="63"/>
  <c r="C338" i="63"/>
  <c r="C400" i="63"/>
  <c r="C180" i="63"/>
  <c r="C244" i="63"/>
  <c r="C307" i="63"/>
  <c r="C212" i="63"/>
  <c r="C276" i="63"/>
  <c r="C152" i="63"/>
  <c r="C36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53" i="63"/>
  <c r="C245" i="63"/>
  <c r="C213" i="63"/>
  <c r="C277" i="63"/>
  <c r="C308" i="63"/>
  <c r="C370" i="63"/>
  <c r="C339" i="63"/>
  <c r="C181" i="63"/>
  <c r="C120"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82" i="63"/>
  <c r="C371" i="63"/>
  <c r="C121" i="63"/>
  <c r="C340" i="63"/>
  <c r="C402" i="63"/>
  <c r="C214" i="63"/>
  <c r="C309" i="63"/>
  <c r="C278" i="63"/>
  <c r="C246" i="63"/>
  <c r="C154"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10" i="63"/>
  <c r="C372" i="63"/>
  <c r="C403" i="63"/>
  <c r="C122" i="63"/>
  <c r="C279" i="63"/>
  <c r="C247" i="63"/>
  <c r="C215" i="63"/>
  <c r="C183" i="63"/>
  <c r="C341" i="63"/>
  <c r="C155"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56" i="63"/>
  <c r="C184" i="63"/>
  <c r="C373" i="63"/>
  <c r="C280" i="63"/>
  <c r="C311" i="63"/>
  <c r="C404" i="63"/>
  <c r="C342" i="63"/>
  <c r="C248" i="63"/>
  <c r="C123" i="63"/>
  <c r="C21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57" i="63"/>
  <c r="C124" i="63"/>
  <c r="C343" i="63"/>
  <c r="C217" i="63"/>
  <c r="C281" i="63"/>
  <c r="C374" i="63"/>
  <c r="C312" i="63"/>
  <c r="C185" i="63"/>
  <c r="C405" i="63"/>
  <c r="C249"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75" i="63"/>
  <c r="C344" i="63"/>
  <c r="C313" i="63"/>
  <c r="C250" i="63"/>
  <c r="C406" i="63"/>
  <c r="C282" i="63"/>
  <c r="C218" i="63"/>
  <c r="C125" i="63"/>
  <c r="C158" i="63"/>
  <c r="C186" i="63"/>
  <c r="D186" i="63" l="1"/>
  <c r="D125" i="63"/>
  <c r="D218" i="63"/>
  <c r="A220" i="63"/>
  <c r="A188" i="63"/>
  <c r="A127" i="63"/>
  <c r="D406" i="63"/>
  <c r="D313" i="63"/>
  <c r="D344" i="63"/>
  <c r="D282" i="63"/>
  <c r="D158" i="63"/>
  <c r="D375" i="63"/>
  <c r="A407" i="63"/>
  <c r="A314" i="63"/>
  <c r="A345" i="63"/>
  <c r="A283" i="63"/>
  <c r="A376" i="63"/>
  <c r="D250" i="63"/>
  <c r="A252" i="63"/>
  <c r="A159" i="63"/>
  <c r="C345" i="63"/>
  <c r="C187" i="63"/>
  <c r="C407" i="63"/>
  <c r="C219" i="63"/>
  <c r="C376" i="63"/>
  <c r="C251" i="63"/>
  <c r="C159" i="63"/>
  <c r="C126" i="63"/>
  <c r="C283" i="63"/>
  <c r="C314" i="63"/>
  <c r="D219" i="63" l="1"/>
  <c r="D126" i="63"/>
  <c r="D187" i="63"/>
  <c r="A221" i="63"/>
  <c r="A128" i="63"/>
  <c r="A189" i="63"/>
  <c r="D407" i="63"/>
  <c r="D314" i="63"/>
  <c r="D159" i="63"/>
  <c r="D376" i="63"/>
  <c r="D283" i="63"/>
  <c r="D345" i="63"/>
  <c r="A408" i="63"/>
  <c r="A315" i="63"/>
  <c r="A377" i="63"/>
  <c r="A284" i="63"/>
  <c r="A346" i="63"/>
  <c r="D251" i="63"/>
  <c r="A253" i="63"/>
  <c r="A160" i="63"/>
  <c r="C408" i="63"/>
  <c r="C346" i="63"/>
  <c r="C377" i="63"/>
  <c r="C220" i="63"/>
  <c r="C127" i="63"/>
  <c r="C284" i="63"/>
  <c r="C160" i="63"/>
  <c r="C315" i="63"/>
  <c r="C252" i="63"/>
  <c r="C188" i="63"/>
  <c r="D188" i="63" l="1"/>
  <c r="D127" i="63"/>
  <c r="D220" i="63"/>
  <c r="A129" i="63"/>
  <c r="A222" i="63"/>
  <c r="A190" i="63"/>
  <c r="D346" i="63"/>
  <c r="D284" i="63"/>
  <c r="D315" i="63"/>
  <c r="D408" i="63"/>
  <c r="D160" i="63"/>
  <c r="D377" i="63"/>
  <c r="A347" i="63"/>
  <c r="A285" i="63"/>
  <c r="A316" i="63"/>
  <c r="A409" i="63"/>
  <c r="A378" i="63"/>
  <c r="D252" i="63"/>
  <c r="A254" i="63"/>
  <c r="A161" i="63"/>
  <c r="C189" i="63"/>
  <c r="C253" i="63"/>
  <c r="C221" i="63"/>
  <c r="C378" i="63"/>
  <c r="C347" i="63"/>
  <c r="C128" i="63"/>
  <c r="C409" i="63"/>
  <c r="C161" i="63"/>
  <c r="C316" i="63"/>
  <c r="C285" i="63"/>
  <c r="D189" i="63" l="1"/>
  <c r="D221" i="63"/>
  <c r="D128" i="63"/>
  <c r="A223" i="63"/>
  <c r="A130" i="63"/>
  <c r="A191" i="63"/>
  <c r="D347" i="63"/>
  <c r="D285" i="63"/>
  <c r="D316" i="63"/>
  <c r="D161" i="63"/>
  <c r="D378" i="63"/>
  <c r="D409" i="63"/>
  <c r="A348" i="63"/>
  <c r="A286" i="63"/>
  <c r="A317" i="63"/>
  <c r="A379" i="63"/>
  <c r="A410" i="63"/>
  <c r="D253" i="63"/>
  <c r="A255" i="63"/>
  <c r="A162" i="63"/>
  <c r="C317" i="63"/>
  <c r="C162" i="63"/>
  <c r="C222" i="63"/>
  <c r="C254" i="63"/>
  <c r="C379" i="63"/>
  <c r="C190" i="63"/>
  <c r="C286" i="63"/>
  <c r="C348" i="63"/>
  <c r="C410" i="63"/>
  <c r="C129"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80" i="63"/>
  <c r="C255" i="63"/>
  <c r="C318" i="63"/>
  <c r="C287" i="63"/>
  <c r="C163" i="63"/>
  <c r="C131" i="63"/>
  <c r="C191" i="63"/>
  <c r="C349" i="63"/>
  <c r="C411" i="63"/>
  <c r="C223" i="63"/>
  <c r="C130"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50" i="63"/>
  <c r="C256" i="63"/>
  <c r="C224" i="63"/>
  <c r="C288" i="63"/>
  <c r="C319" i="63"/>
  <c r="C412" i="63"/>
  <c r="C192" i="63"/>
  <c r="C381"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89" i="63"/>
  <c r="C351" i="63"/>
  <c r="C320" i="63"/>
  <c r="C257" i="63"/>
  <c r="C193" i="63"/>
  <c r="C225" i="63"/>
  <c r="C382" i="63"/>
  <c r="C41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P41" i="39" s="1"/>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290" i="63"/>
  <c r="C194" i="63"/>
  <c r="C414" i="63"/>
  <c r="C258" i="63"/>
  <c r="C321" i="63"/>
  <c r="C383" i="63"/>
  <c r="C195" i="63"/>
  <c r="C352" i="63"/>
  <c r="C226" i="63"/>
  <c r="C227" i="63"/>
  <c r="AP49" i="39" l="1"/>
  <c r="AP32" i="39"/>
  <c r="AP23" i="39"/>
  <c r="AP30" i="39"/>
  <c r="AP31" i="39"/>
  <c r="AP21" i="39"/>
  <c r="AP22" i="39"/>
  <c r="AP14" i="39"/>
  <c r="AP12" i="39"/>
  <c r="AP48"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415" i="63"/>
  <c r="C384" i="63"/>
  <c r="C322" i="63"/>
  <c r="C353" i="63"/>
  <c r="C259" i="63"/>
  <c r="Z19" i="39" l="1"/>
  <c r="AP39" i="39"/>
  <c r="AP40" i="39"/>
  <c r="AV40" i="39" s="1"/>
  <c r="Z20" i="39"/>
  <c r="AP13" i="39"/>
  <c r="AU13" i="39" s="1"/>
  <c r="AP57" i="39"/>
  <c r="AP59" i="39"/>
  <c r="AP60" i="39"/>
  <c r="AB20" i="39"/>
  <c r="AT24" i="39"/>
  <c r="AE22" i="39"/>
  <c r="AB38" i="34"/>
  <c r="AU60" i="39"/>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C385" i="63"/>
  <c r="C354" i="63"/>
  <c r="C323" i="63"/>
  <c r="C416" i="63"/>
  <c r="AB40" i="34" l="1"/>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C417" i="63"/>
  <c r="C355" i="63"/>
  <c r="C386" i="63"/>
  <c r="AW58" i="39" l="1"/>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1" i="60"/>
  <c r="B18" i="60"/>
  <c r="B49" i="60"/>
  <c r="B37" i="60"/>
  <c r="B39" i="60"/>
  <c r="B9" i="60"/>
  <c r="B15" i="60"/>
  <c r="B40" i="60"/>
  <c r="B51" i="60"/>
  <c r="B43" i="60"/>
  <c r="B41" i="60"/>
  <c r="B48" i="60"/>
  <c r="B24" i="60"/>
  <c r="B19" i="60"/>
  <c r="B45" i="60"/>
  <c r="B33" i="60"/>
  <c r="B52" i="60"/>
  <c r="B7" i="60"/>
  <c r="B32" i="60"/>
  <c r="B46" i="60"/>
  <c r="B55" i="60"/>
  <c r="B26" i="60"/>
  <c r="B53" i="60"/>
  <c r="B36" i="60"/>
  <c r="B54" i="60"/>
  <c r="B30" i="60"/>
  <c r="B10" i="60"/>
  <c r="B23" i="60"/>
  <c r="B50" i="60"/>
  <c r="B22" i="60"/>
  <c r="B28" i="60"/>
  <c r="B47" i="60"/>
  <c r="B8" i="60"/>
  <c r="B17" i="60"/>
  <c r="B38" i="60"/>
  <c r="B16" i="60"/>
  <c r="B44" i="60"/>
  <c r="B29" i="60"/>
  <c r="B42" i="60"/>
  <c r="B20" i="60"/>
  <c r="B25" i="60"/>
  <c r="B56" i="60"/>
  <c r="B27" i="60"/>
  <c r="B21" i="60"/>
  <c r="B6" i="60"/>
  <c r="U2" i="64" l="1"/>
  <c r="C1" i="62"/>
  <c r="C2" i="62" s="1"/>
  <c r="C1" i="63"/>
  <c r="C2" i="63" s="1"/>
  <c r="C1" i="61"/>
  <c r="B244" i="62"/>
  <c r="B142" i="62"/>
  <c r="B24" i="63"/>
  <c r="B73" i="62"/>
  <c r="B198" i="62"/>
  <c r="B176" i="62"/>
  <c r="B222" i="62"/>
  <c r="B62" i="63"/>
  <c r="B79" i="63"/>
  <c r="B187" i="62"/>
  <c r="B23" i="62"/>
  <c r="B69" i="62"/>
  <c r="B227" i="62"/>
  <c r="B230" i="62"/>
  <c r="B124" i="62"/>
  <c r="B256" i="62"/>
  <c r="B95" i="62"/>
  <c r="B220" i="62"/>
  <c r="B246" i="62"/>
  <c r="B54" i="63"/>
  <c r="B49" i="62"/>
  <c r="B210" i="62"/>
  <c r="B19" i="63"/>
  <c r="B211" i="62"/>
  <c r="B90" i="62"/>
  <c r="B105" i="62"/>
  <c r="B262" i="62"/>
  <c r="B67" i="62"/>
  <c r="B56" i="62"/>
  <c r="B78" i="63"/>
  <c r="B243" i="62"/>
  <c r="B57" i="63"/>
  <c r="B241" i="62"/>
  <c r="B203" i="62"/>
  <c r="B53" i="62"/>
  <c r="B60" i="63"/>
  <c r="B228" i="62"/>
  <c r="B154" i="62"/>
  <c r="B45" i="62"/>
  <c r="B84" i="62"/>
  <c r="B6" i="63"/>
  <c r="B15" i="63"/>
  <c r="B165" i="62"/>
  <c r="B126" i="62"/>
  <c r="B35" i="62"/>
  <c r="B146" i="62"/>
  <c r="B52" i="62"/>
  <c r="B25" i="63"/>
  <c r="B15" i="62"/>
  <c r="B20" i="62"/>
  <c r="B237" i="62"/>
  <c r="B269" i="62"/>
  <c r="B143" i="62"/>
  <c r="B24" i="62"/>
  <c r="B94" i="62"/>
  <c r="B183" i="62"/>
  <c r="B208" i="62"/>
  <c r="B22" i="63"/>
  <c r="B12" i="63"/>
  <c r="B257" i="62"/>
  <c r="B199" i="62"/>
  <c r="B22" i="62"/>
  <c r="B64" i="63"/>
  <c r="B99" i="62"/>
  <c r="B216" i="62"/>
  <c r="B242" i="62"/>
  <c r="B52" i="63"/>
  <c r="B201" i="62"/>
  <c r="B141" i="62"/>
  <c r="B193" i="62"/>
  <c r="B121" i="62"/>
  <c r="B26" i="63"/>
  <c r="B65" i="63"/>
  <c r="B100" i="62"/>
  <c r="B151" i="62"/>
  <c r="B189" i="62"/>
  <c r="B258" i="62"/>
  <c r="B40" i="63"/>
  <c r="B101" i="62"/>
  <c r="B102" i="62"/>
  <c r="B103" i="62"/>
  <c r="B7" i="63"/>
  <c r="B180" i="62"/>
  <c r="B76" i="62"/>
  <c r="B265" i="62"/>
  <c r="B51" i="62"/>
  <c r="B67" i="63"/>
  <c r="B195" i="62"/>
  <c r="B77" i="63"/>
  <c r="B46" i="62"/>
  <c r="B221" i="62"/>
  <c r="B266" i="62"/>
  <c r="B204" i="62"/>
  <c r="B125" i="62"/>
  <c r="B63" i="63"/>
  <c r="B72" i="62"/>
  <c r="B11" i="63"/>
  <c r="B261" i="62"/>
  <c r="B9" i="62"/>
  <c r="B162" i="62"/>
  <c r="B179" i="62"/>
  <c r="B110" i="62"/>
  <c r="B212" i="62"/>
  <c r="B60" i="62"/>
  <c r="B254" i="62"/>
  <c r="B166" i="62"/>
  <c r="B169" i="62"/>
  <c r="B238" i="62"/>
  <c r="B137" i="62"/>
  <c r="B147" i="62"/>
  <c r="B259" i="62"/>
  <c r="B10" i="63"/>
  <c r="B6" i="62"/>
  <c r="B28" i="63"/>
  <c r="B108" i="62"/>
  <c r="B181" i="62"/>
  <c r="B130" i="62"/>
  <c r="B34" i="62"/>
  <c r="B64" i="62"/>
  <c r="B215" i="62"/>
  <c r="B232" i="62"/>
  <c r="B117" i="62"/>
  <c r="B45" i="63"/>
  <c r="B35" i="63"/>
  <c r="B31" i="62"/>
  <c r="B93" i="62"/>
  <c r="B248" i="62"/>
  <c r="B7" i="62"/>
  <c r="B118" i="62"/>
  <c r="B89" i="62"/>
  <c r="B148" i="62"/>
  <c r="B196" i="62"/>
  <c r="B16" i="63"/>
  <c r="B214" i="62"/>
  <c r="B150" i="62"/>
  <c r="B91" i="62"/>
  <c r="B182" i="62"/>
  <c r="B27" i="63"/>
  <c r="B122" i="62"/>
  <c r="B104" i="62"/>
  <c r="B43" i="62"/>
  <c r="B51" i="63"/>
  <c r="B139" i="62"/>
  <c r="B245" i="62"/>
  <c r="B149" i="62"/>
  <c r="B29" i="62"/>
  <c r="B23" i="63"/>
  <c r="B47" i="62"/>
  <c r="B114" i="62"/>
  <c r="B127" i="62"/>
  <c r="B163" i="62"/>
  <c r="B29" i="63"/>
  <c r="B113" i="62"/>
  <c r="B225" i="62"/>
  <c r="B135" i="62"/>
  <c r="B218" i="62"/>
  <c r="B260" i="62"/>
  <c r="B62" i="62"/>
  <c r="B69" i="63"/>
  <c r="B8" i="62"/>
  <c r="B202" i="62"/>
  <c r="B252" i="62"/>
  <c r="B239" i="62"/>
  <c r="B140" i="62"/>
  <c r="B190" i="62"/>
  <c r="B184" i="62"/>
  <c r="B42" i="63"/>
  <c r="B80" i="62"/>
  <c r="B81" i="63"/>
  <c r="B14" i="62"/>
  <c r="B264" i="62"/>
  <c r="B18" i="63"/>
  <c r="B112" i="62"/>
  <c r="B107" i="62"/>
  <c r="B209" i="62"/>
  <c r="B170" i="62"/>
  <c r="B66" i="63"/>
  <c r="B54" i="62"/>
  <c r="B177" i="62"/>
  <c r="B128" i="62"/>
  <c r="B106" i="62"/>
  <c r="B138" i="62"/>
  <c r="B235" i="62"/>
  <c r="B197" i="62"/>
  <c r="B56" i="63"/>
  <c r="B58" i="62"/>
  <c r="B164" i="62"/>
  <c r="B68" i="63"/>
  <c r="B207" i="62"/>
  <c r="B41" i="63"/>
  <c r="B48" i="63"/>
  <c r="B178" i="62"/>
  <c r="B171" i="62"/>
  <c r="B9" i="63"/>
  <c r="B255" i="62"/>
  <c r="B48" i="62"/>
  <c r="B37" i="63"/>
  <c r="B156" i="62"/>
  <c r="B173" i="62"/>
  <c r="B77" i="62"/>
  <c r="B251" i="62"/>
  <c r="B59" i="62"/>
  <c r="B194" i="62"/>
  <c r="B10" i="62"/>
  <c r="B32" i="63"/>
  <c r="B58" i="63"/>
  <c r="B132" i="62"/>
  <c r="B192" i="62"/>
  <c r="B70" i="62"/>
  <c r="B71" i="62"/>
  <c r="B200" i="62"/>
  <c r="B133" i="62"/>
  <c r="B75" i="63"/>
  <c r="B92" i="62"/>
  <c r="B168" i="62"/>
  <c r="B82" i="63"/>
  <c r="B55" i="63"/>
  <c r="B70" i="63"/>
  <c r="B20" i="63"/>
  <c r="B33" i="62"/>
  <c r="B115" i="62"/>
  <c r="B28" i="62"/>
  <c r="B174" i="62"/>
  <c r="B233" i="62"/>
  <c r="B11" i="62"/>
  <c r="B38" i="63"/>
  <c r="B152" i="62"/>
  <c r="B8" i="63"/>
  <c r="B76" i="63"/>
  <c r="B68" i="62"/>
  <c r="B186" i="62"/>
  <c r="B131" i="62"/>
  <c r="B185" i="62"/>
  <c r="B66" i="62"/>
  <c r="B87" i="62"/>
  <c r="B83" i="62"/>
  <c r="B86" i="62"/>
  <c r="B55" i="62"/>
  <c r="B36" i="63"/>
  <c r="B73" i="63"/>
  <c r="B53" i="63"/>
  <c r="B224" i="62"/>
  <c r="B109" i="62"/>
  <c r="B153" i="62"/>
  <c r="B44" i="62"/>
  <c r="B167" i="62"/>
  <c r="B12" i="62"/>
  <c r="B134" i="62"/>
  <c r="B191" i="62"/>
  <c r="B98" i="62"/>
  <c r="B13" i="63"/>
  <c r="B17" i="63"/>
  <c r="B82" i="62"/>
  <c r="B26" i="62"/>
  <c r="B42" i="62"/>
  <c r="B213" i="62"/>
  <c r="B33" i="63"/>
  <c r="B85" i="62"/>
  <c r="B44" i="63"/>
  <c r="B30" i="62"/>
  <c r="B97" i="62"/>
  <c r="B249" i="62"/>
  <c r="B159" i="62"/>
  <c r="B30" i="63"/>
  <c r="B247" i="62"/>
  <c r="B74" i="63"/>
  <c r="B57" i="62"/>
  <c r="B78" i="62"/>
  <c r="B236" i="62"/>
  <c r="B43" i="63"/>
  <c r="B263" i="62"/>
  <c r="B80" i="63"/>
  <c r="B111" i="62"/>
  <c r="B231" i="62"/>
  <c r="B217" i="62"/>
  <c r="B50" i="62"/>
  <c r="B59" i="63"/>
  <c r="B34" i="63"/>
  <c r="B74" i="62"/>
  <c r="B27" i="62"/>
  <c r="B267" i="62"/>
  <c r="B229" i="62"/>
  <c r="B226" i="62"/>
  <c r="B270" i="62"/>
  <c r="B31" i="63"/>
  <c r="B25" i="62"/>
  <c r="B39" i="63"/>
  <c r="B21" i="62"/>
  <c r="B61" i="63"/>
  <c r="B116" i="62"/>
  <c r="B71" i="63"/>
  <c r="B65" i="62"/>
  <c r="B96" i="62"/>
  <c r="B88" i="62"/>
  <c r="B14" i="63"/>
  <c r="B36" i="62"/>
  <c r="B17" i="62"/>
  <c r="B16" i="62"/>
  <c r="B223" i="62"/>
  <c r="B188" i="62"/>
  <c r="B136" i="62"/>
  <c r="B120" i="62"/>
  <c r="B219" i="62"/>
  <c r="B240" i="62"/>
  <c r="B253" i="62"/>
  <c r="B271" i="62"/>
  <c r="B119" i="62"/>
  <c r="B32" i="62"/>
  <c r="B72" i="63"/>
  <c r="B155" i="62"/>
  <c r="B61" i="62"/>
  <c r="B21" i="63"/>
  <c r="B129" i="62"/>
  <c r="B205" i="62"/>
  <c r="B250" i="62"/>
  <c r="B268" i="62"/>
  <c r="B175" i="62"/>
  <c r="B75" i="62"/>
  <c r="B206" i="62"/>
  <c r="B160" i="62"/>
  <c r="B41" i="62"/>
  <c r="B172" i="62"/>
  <c r="C2" i="64" l="1"/>
  <c r="O26" i="34"/>
  <c r="O28" i="34"/>
  <c r="G28" i="34"/>
  <c r="G26" i="34"/>
  <c r="O24" i="34"/>
  <c r="O46" i="34"/>
  <c r="G46" i="34"/>
  <c r="O42" i="34"/>
  <c r="O40" i="34"/>
  <c r="O38" i="34"/>
  <c r="O36" i="34"/>
  <c r="G42" i="34"/>
  <c r="G40" i="34"/>
  <c r="G38" i="34"/>
  <c r="G36" i="34"/>
  <c r="O22" i="34"/>
  <c r="O20" i="34"/>
  <c r="O18" i="34"/>
  <c r="O16" i="34"/>
  <c r="G24" i="34"/>
  <c r="G22" i="34"/>
  <c r="G18" i="34"/>
  <c r="G16" i="34"/>
  <c r="G14" i="34"/>
  <c r="L59" i="34"/>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K44" i="38"/>
  <c r="V50" i="38" s="1"/>
  <c r="D44" i="38"/>
  <c r="V45" i="38" s="1"/>
  <c r="V48" i="38" s="1"/>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C2" i="61"/>
  <c r="Q72" i="25"/>
  <c r="Y67" i="25"/>
  <c r="B155" i="61"/>
  <c r="T8" i="64" a="1"/>
  <c r="T7" i="64" a="1"/>
  <c r="B67" i="61"/>
  <c r="B79" i="61"/>
  <c r="B143" i="61"/>
  <c r="B170" i="61"/>
  <c r="B186" i="61"/>
  <c r="B35" i="61"/>
  <c r="B88" i="61"/>
  <c r="B117" i="61"/>
  <c r="B129" i="61"/>
  <c r="B134" i="61"/>
  <c r="B130" i="61"/>
  <c r="B128" i="61"/>
  <c r="B89" i="61"/>
  <c r="B113" i="61"/>
  <c r="B15" i="61"/>
  <c r="B190" i="61"/>
  <c r="B8" i="61"/>
  <c r="B171" i="61"/>
  <c r="B36" i="61"/>
  <c r="B182" i="61"/>
  <c r="B165" i="61"/>
  <c r="B7" i="61"/>
  <c r="B175" i="61"/>
  <c r="B61" i="61"/>
  <c r="B160" i="61"/>
  <c r="B187" i="61"/>
  <c r="B106" i="61"/>
  <c r="B63" i="61"/>
  <c r="B195" i="61"/>
  <c r="B126" i="61"/>
  <c r="B135" i="61"/>
  <c r="B76" i="61"/>
  <c r="B55" i="61"/>
  <c r="B12" i="61"/>
  <c r="B185" i="61"/>
  <c r="B22" i="61"/>
  <c r="B84" i="61"/>
  <c r="B21" i="61"/>
  <c r="B27" i="61"/>
  <c r="B37" i="61"/>
  <c r="B93" i="61"/>
  <c r="B60" i="61"/>
  <c r="B92" i="61"/>
  <c r="B116" i="61"/>
  <c r="B132" i="61"/>
  <c r="B172" i="61"/>
  <c r="B6" i="61"/>
  <c r="B65" i="61"/>
  <c r="B50" i="61"/>
  <c r="B193" i="61"/>
  <c r="B95" i="61"/>
  <c r="B66" i="61"/>
  <c r="B81" i="61"/>
  <c r="B146" i="61"/>
  <c r="B42" i="61"/>
  <c r="B191" i="61"/>
  <c r="B103" i="61"/>
  <c r="B162" i="61"/>
  <c r="B115" i="61"/>
  <c r="B40" i="61"/>
  <c r="B152" i="61"/>
  <c r="B176" i="61"/>
  <c r="B82" i="61"/>
  <c r="B150" i="61"/>
  <c r="B17" i="61"/>
  <c r="B23" i="61"/>
  <c r="B49" i="61"/>
  <c r="B140" i="61"/>
  <c r="B97" i="61"/>
  <c r="B104" i="61"/>
  <c r="B44" i="61"/>
  <c r="B46" i="61"/>
  <c r="B110" i="61"/>
  <c r="B189" i="61"/>
  <c r="B181" i="61"/>
  <c r="B169" i="61"/>
  <c r="B20" i="61"/>
  <c r="B183" i="61"/>
  <c r="B161" i="61"/>
  <c r="B100" i="61"/>
  <c r="B90" i="61"/>
  <c r="B153" i="61"/>
  <c r="B141" i="61"/>
  <c r="B94" i="61"/>
  <c r="B147" i="61"/>
  <c r="B136" i="61"/>
  <c r="B151" i="61"/>
  <c r="B64" i="61"/>
  <c r="B41" i="61"/>
  <c r="B192" i="61"/>
  <c r="B168" i="61"/>
  <c r="B59" i="61"/>
  <c r="B188" i="61"/>
  <c r="B177" i="61"/>
  <c r="B167" i="61"/>
  <c r="B13" i="61"/>
  <c r="B28" i="61"/>
  <c r="B114" i="61"/>
  <c r="B16" i="61"/>
  <c r="B142" i="61"/>
  <c r="B25" i="61"/>
  <c r="B112" i="61"/>
  <c r="B69" i="61"/>
  <c r="B11" i="61"/>
  <c r="B131" i="61"/>
  <c r="B180" i="61"/>
  <c r="B80" i="61"/>
  <c r="B109" i="61"/>
  <c r="B29" i="61"/>
  <c r="B174" i="61"/>
  <c r="B54" i="61"/>
  <c r="B184" i="61"/>
  <c r="B18" i="61"/>
  <c r="B139" i="61"/>
  <c r="B137" i="61"/>
  <c r="B101" i="61"/>
  <c r="B159" i="61"/>
  <c r="B38" i="61"/>
  <c r="B75" i="61"/>
  <c r="B87" i="61"/>
  <c r="B43" i="61"/>
  <c r="B138" i="61"/>
  <c r="B9" i="61"/>
  <c r="B14" i="61"/>
  <c r="B178" i="61"/>
  <c r="B24" i="61"/>
  <c r="B179" i="61"/>
  <c r="B166" i="61"/>
  <c r="B125" i="61"/>
  <c r="B133" i="61"/>
  <c r="B102" i="61"/>
  <c r="B57" i="61"/>
  <c r="B111" i="61"/>
  <c r="B62" i="61"/>
  <c r="B58" i="61"/>
  <c r="B105" i="61"/>
  <c r="B68" i="61"/>
  <c r="B164" i="61"/>
  <c r="B83" i="61"/>
  <c r="B70" i="61"/>
  <c r="B19" i="61"/>
  <c r="B26" i="61"/>
  <c r="B145" i="61"/>
  <c r="B98" i="61"/>
  <c r="B163" i="61"/>
  <c r="B39" i="61"/>
  <c r="B127" i="61"/>
  <c r="B194" i="61"/>
  <c r="B45" i="61"/>
  <c r="B118" i="61"/>
  <c r="B120" i="61"/>
  <c r="B56" i="61"/>
  <c r="B119" i="61"/>
  <c r="B73" i="61"/>
  <c r="B99" i="61"/>
  <c r="B51" i="61"/>
  <c r="B173" i="61"/>
  <c r="B144" i="61"/>
  <c r="B96" i="61"/>
  <c r="B10" i="61"/>
  <c r="B91" i="61"/>
  <c r="B74" i="61"/>
  <c r="I133" i="46" l="1"/>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Z5" i="38" s="1"/>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Y5" i="38" s="1"/>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Y7" i="38" s="1"/>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AH9" i="38" l="1"/>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AN26"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39" i="38" l="1"/>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<sst xmlns="http://schemas.openxmlformats.org/spreadsheetml/2006/main" count="3691" uniqueCount="2500">
  <si>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</si>
  <si>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</si>
  <si>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</si>
  <si>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</si>
  <si>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</si>
  <si>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</si>
  <si>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</si>
  <si>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</si>
  <si>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</si>
  <si>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</si>
  <si>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</si>
  <si>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</si>
  <si>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</si>
  <si>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</si>
  <si>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</si>
  <si>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</si>
  <si>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</si>
  <si>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</si>
  <si>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</si>
  <si>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</si>
  <si>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</si>
  <si>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</si>
  <si>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</si>
  <si>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</si>
  <si>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</si>
  <si>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</si>
  <si>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</si>
  <si>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</si>
  <si>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</si>
  <si>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</si>
  <si>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</si>
  <si>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</si>
  <si>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</si>
  <si>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</si>
  <si>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</si>
  <si>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</si>
  <si>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</si>
  <si>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</si>
  <si>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</si>
  <si>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</si>
  <si>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</si>
  <si>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</si>
  <si>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</si>
  <si>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</si>
  <si>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</si>
  <si>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</si>
  <si>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</si>
  <si>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</si>
  <si>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</si>
  <si>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</si>
  <si>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</si>
  <si>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</si>
  <si>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</si>
  <si>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</si>
  <si>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</si>
  <si>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</si>
  <si>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</si>
  <si>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</si>
  <si>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</si>
  <si>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</si>
  <si>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</si>
  <si>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</si>
  <si>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</si>
  <si>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</si>
  <si>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</si>
  <si>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</si>
  <si>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</si>
  <si>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</si>
  <si>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</si>
  <si>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</si>
  <si>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</si>
  <si>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</si>
  <si>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</si>
  <si>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</si>
  <si>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</si>
  <si>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</si>
  <si>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</si>
  <si>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</si>
  <si>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</si>
  <si>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</si>
  <si>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</si>
  <si>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</si>
  <si>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</si>
  <si>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</si>
  <si>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</si>
  <si>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</si>
  <si>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</si>
  <si>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</si>
  <si>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</si>
  <si>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</si>
  <si>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</si>
  <si>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</si>
  <si>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</si>
  <si>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</si>
  <si>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</si>
  <si>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</si>
  <si>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</si>
  <si>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</si>
  <si>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</si>
  <si>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</si>
  <si>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</si>
  <si>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</si>
  <si>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</si>
  <si>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</si>
  <si>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</si>
  <si>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</si>
  <si>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</si>
  <si>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</si>
  <si>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</si>
  <si>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</si>
  <si>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</si>
  <si>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</si>
  <si>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</si>
  <si>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</si>
  <si>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</si>
  <si>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</si>
  <si>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</si>
  <si>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</si>
  <si>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</si>
  <si>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</si>
  <si>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</si>
  <si>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</si>
  <si>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</si>
  <si>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</si>
  <si>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</si>
  <si>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</si>
  <si>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</si>
  <si>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</si>
  <si>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</si>
  <si>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</si>
  <si>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</si>
  <si>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</si>
  <si>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</si>
  <si>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</si>
  <si>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</si>
  <si>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</si>
  <si>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</si>
  <si>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</si>
  <si>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</si>
  <si>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</si>
  <si>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</si>
  <si>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</si>
  <si>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</si>
  <si>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</si>
  <si>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</si>
  <si>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</si>
  <si>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</si>
  <si>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</si>
  <si>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</si>
  <si>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</si>
  <si>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</si>
  <si>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</si>
  <si>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</si>
  <si>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</si>
  <si>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</si>
  <si>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</si>
  <si>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</si>
  <si>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</si>
  <si>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</si>
  <si>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</si>
  <si>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</si>
  <si>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</si>
  <si>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</si>
  <si>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</si>
  <si>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</si>
  <si>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</si>
  <si>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</si>
  <si>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</si>
  <si>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</si>
  <si>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</si>
  <si>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</si>
  <si>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</si>
  <si>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</si>
  <si>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</si>
  <si>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</si>
  <si>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</si>
  <si>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</si>
  <si>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</si>
  <si>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</si>
  <si>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</si>
  <si>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</si>
  <si>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</si>
  <si>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</si>
  <si>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</si>
  <si>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</si>
  <si>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</si>
  <si>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</si>
  <si>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</si>
  <si>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</si>
  <si>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</si>
  <si>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</si>
  <si>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</si>
  <si>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</si>
  <si>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</si>
  <si>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</si>
  <si>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</si>
  <si>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</si>
  <si>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</si>
  <si>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</si>
  <si>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</si>
  <si>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</si>
  <si>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</si>
  <si>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</si>
  <si>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</si>
  <si>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</si>
  <si>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</si>
  <si>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</si>
  <si>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</si>
  <si>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</si>
  <si>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</si>
  <si>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</si>
  <si>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</si>
  <si>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</si>
  <si>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</si>
  <si>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</si>
  <si>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</si>
  <si>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</si>
  <si>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</si>
  <si>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</si>
  <si>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</si>
  <si>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</si>
  <si>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</si>
  <si>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</si>
  <si>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</si>
  <si>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</si>
  <si>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</si>
  <si>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</si>
  <si>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</si>
  <si>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</si>
  <si>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</si>
  <si>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</si>
  <si>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</si>
  <si>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</si>
  <si>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</si>
  <si>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</si>
  <si>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</si>
  <si>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</si>
  <si>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</si>
  <si>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</si>
  <si>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</si>
  <si>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</si>
  <si>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</si>
  <si>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</si>
  <si>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</si>
  <si>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</si>
  <si>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</si>
  <si>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</si>
  <si>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</si>
  <si>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</si>
  <si>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</si>
  <si>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</si>
  <si>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</si>
  <si>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</si>
  <si>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</si>
  <si>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</si>
  <si>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</si>
  <si>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</si>
  <si>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</si>
  <si>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</si>
  <si>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</si>
  <si>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</si>
  <si>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</si>
  <si>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</si>
  <si>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</si>
  <si>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</si>
  <si>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</si>
  <si>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</si>
  <si>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</si>
  <si>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</si>
  <si>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</si>
  <si>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</si>
  <si>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</si>
  <si>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</si>
  <si>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</si>
  <si>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</si>
  <si>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</si>
  <si>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</si>
  <si>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</si>
  <si>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</si>
  <si>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</si>
  <si>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</si>
  <si>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</si>
  <si>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</si>
  <si>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</si>
  <si>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</si>
  <si>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</si>
  <si>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</si>
  <si>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</si>
  <si>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</si>
  <si>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</si>
  <si>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</si>
  <si>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</si>
  <si>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</si>
  <si>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</si>
  <si>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</si>
  <si>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</si>
  <si>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</si>
  <si>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</si>
  <si>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</si>
  <si>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</si>
  <si>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</si>
  <si>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</si>
  <si>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</si>
  <si>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</si>
  <si>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</si>
  <si>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</si>
  <si>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</si>
  <si>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</si>
  <si>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</si>
  <si>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</si>
  <si>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</si>
  <si>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</si>
  <si>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</si>
  <si>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</si>
  <si>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</si>
  <si>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</si>
  <si>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</si>
  <si>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</si>
  <si>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</si>
  <si>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</si>
  <si>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</si>
  <si>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</si>
  <si>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</si>
  <si>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</si>
  <si>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</si>
  <si>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</si>
  <si>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</si>
  <si>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</si>
  <si>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</si>
  <si>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</si>
  <si>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</si>
  <si>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</si>
  <si>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</si>
  <si>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</si>
  <si>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</si>
  <si>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</si>
  <si>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</si>
  <si>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</si>
  <si>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</si>
  <si>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</si>
  <si>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</si>
  <si>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</si>
  <si>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</si>
  <si>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</si>
  <si>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</si>
  <si>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</si>
  <si>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</si>
  <si>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</si>
  <si>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</si>
  <si>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</si>
  <si>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</si>
  <si>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</si>
  <si>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</si>
  <si>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</si>
  <si>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</si>
  <si>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</si>
  <si>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</si>
  <si>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</si>
  <si>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</si>
  <si>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</si>
  <si>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</si>
  <si>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</si>
  <si>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</si>
  <si>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</si>
  <si>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</si>
  <si>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</si>
  <si>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</si>
  <si>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</si>
  <si>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</si>
  <si>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</si>
  <si>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</si>
  <si>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</si>
  <si>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</si>
  <si>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</si>
  <si>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</si>
  <si>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</si>
  <si>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</si>
  <si>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</si>
  <si>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</si>
  <si>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</si>
  <si>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</si>
  <si>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</si>
  <si>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</si>
  <si>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</si>
  <si>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</si>
  <si>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</si>
  <si>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</si>
  <si>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</si>
  <si>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</si>
  <si>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</si>
  <si>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</si>
  <si>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</si>
  <si>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</si>
  <si>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</si>
  <si>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</si>
  <si>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</si>
  <si>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</si>
  <si>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</si>
  <si>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</si>
  <si>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</si>
  <si>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</si>
  <si>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</si>
  <si>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</si>
  <si>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</si>
  <si>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</si>
  <si>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</si>
  <si>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</si>
  <si>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</si>
  <si>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</si>
  <si>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</si>
  <si>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</si>
  <si>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</si>
  <si>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</si>
  <si>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</si>
  <si>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</si>
  <si>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</si>
  <si>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</si>
  <si>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</si>
  <si>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</si>
  <si>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</si>
  <si>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</si>
  <si>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</si>
  <si>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</si>
  <si>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</si>
  <si>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</si>
  <si>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</si>
  <si>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</si>
  <si>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</si>
  <si>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</si>
  <si>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</si>
  <si>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</si>
  <si>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</si>
  <si>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</si>
  <si>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</si>
  <si>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</si>
  <si>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</si>
  <si>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</si>
  <si>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</si>
  <si>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</si>
  <si>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</si>
  <si>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</si>
  <si>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</si>
  <si>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</si>
  <si>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</si>
  <si>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</si>
  <si>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</si>
  <si>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</si>
  <si>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</si>
  <si>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</si>
  <si>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</si>
  <si>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</si>
  <si>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</si>
  <si>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</si>
  <si>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</si>
  <si>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</si>
  <si>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</si>
  <si>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</si>
  <si>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</si>
  <si>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</si>
  <si>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</si>
  <si>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</si>
  <si>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</si>
  <si>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</si>
  <si>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</si>
  <si>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</si>
  <si>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</si>
  <si>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</si>
  <si>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</si>
  <si>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</si>
  <si>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</si>
  <si>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</si>
  <si>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</si>
  <si>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</si>
  <si>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</si>
  <si>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</si>
  <si>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</si>
  <si>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</si>
  <si>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</si>
  <si>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</si>
  <si>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</si>
  <si>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</si>
  <si>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</si>
  <si>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</si>
  <si>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</si>
  <si>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</si>
  <si>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</si>
  <si>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</si>
  <si>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</si>
  <si>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</si>
  <si>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</si>
  <si>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</si>
  <si>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</si>
  <si>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</si>
  <si>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</si>
  <si>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</si>
  <si>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</si>
  <si>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</si>
  <si>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</si>
  <si>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</si>
  <si>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</si>
  <si>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</si>
  <si>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</si>
  <si>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</si>
  <si>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</si>
  <si>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</si>
  <si>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</si>
  <si>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</si>
  <si>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</si>
  <si>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</si>
  <si>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</si>
  <si>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</si>
  <si>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</si>
  <si>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</si>
  <si>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</si>
  <si>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</si>
  <si>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</si>
  <si>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</si>
  <si>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</si>
  <si>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</si>
  <si>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</si>
  <si>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</si>
  <si>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</si>
  <si>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</si>
  <si>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</si>
  <si>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</si>
  <si>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</si>
  <si>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</si>
  <si>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</si>
  <si>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</si>
  <si>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</si>
  <si>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</si>
  <si>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</si>
  <si>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</si>
  <si>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</si>
  <si>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</si>
  <si>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</si>
  <si>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</si>
  <si>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</si>
  <si>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</si>
  <si>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</si>
  <si>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</si>
  <si>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</si>
  <si>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</si>
  <si>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</si>
  <si>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</si>
  <si>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</si>
  <si>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</si>
  <si>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</si>
  <si>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</si>
  <si>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</si>
  <si>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</si>
  <si>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</si>
  <si>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</si>
  <si>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</si>
  <si>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</si>
  <si>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</si>
  <si>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</si>
  <si>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</si>
  <si>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</si>
  <si>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</si>
  <si>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</si>
  <si>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</si>
  <si>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</si>
  <si>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</si>
  <si>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</si>
  <si>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</si>
  <si>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</si>
  <si>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</si>
  <si>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</si>
  <si>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</si>
  <si>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</si>
  <si>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</si>
  <si>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</si>
  <si>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</si>
  <si>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</si>
  <si>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</si>
  <si>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</si>
  <si>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</si>
  <si>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</si>
  <si>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</si>
  <si>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</si>
  <si>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</si>
  <si>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</si>
  <si>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</si>
  <si>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</si>
  <si>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</si>
  <si>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</si>
  <si>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</si>
  <si>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</si>
  <si>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</si>
  <si>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</si>
  <si>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</si>
  <si>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</si>
  <si>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</si>
  <si>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</si>
  <si>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</si>
  <si>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</si>
  <si>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</si>
  <si>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</si>
  <si>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</si>
  <si>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</si>
  <si>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</si>
  <si>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</si>
  <si>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</si>
  <si>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</si>
  <si>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</si>
  <si>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</si>
  <si>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</si>
  <si>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</si>
  <si>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</si>
  <si>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</si>
  <si>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</si>
  <si>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</si>
  <si>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</si>
  <si>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</si>
  <si>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</si>
  <si>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</si>
  <si>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</si>
  <si>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</si>
  <si>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</si>
  <si>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</si>
  <si>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</si>
  <si>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</si>
  <si>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</si>
  <si>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</si>
  <si>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</si>
  <si>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</si>
  <si>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</si>
  <si>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</si>
  <si>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</si>
  <si>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</si>
  <si>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</si>
  <si>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</si>
  <si>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</si>
  <si>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</si>
  <si>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</si>
  <si>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</si>
  <si>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</si>
  <si>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</si>
  <si>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</si>
  <si>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</si>
  <si>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</si>
  <si>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</si>
  <si>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</si>
  <si>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</si>
  <si>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</si>
  <si>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</si>
  <si>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</si>
  <si>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</si>
  <si>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</si>
  <si>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</si>
  <si>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</si>
  <si>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</si>
  <si>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</si>
  <si>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</si>
  <si>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</si>
  <si>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</si>
  <si>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</si>
  <si>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</si>
  <si>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</si>
  <si>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</si>
  <si>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</si>
  <si>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</si>
  <si>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</si>
  <si>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</si>
  <si>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</si>
  <si>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</si>
  <si>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</si>
  <si>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</si>
  <si>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</si>
  <si>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</si>
  <si>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</si>
  <si>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</si>
  <si>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</si>
  <si>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</si>
  <si>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</si>
  <si>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</si>
  <si>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</si>
  <si>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</si>
  <si>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</si>
  <si>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</si>
  <si>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</si>
  <si>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</si>
  <si>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</si>
  <si>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</si>
  <si>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</si>
  <si>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</si>
  <si>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</si>
  <si>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</si>
  <si>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</si>
  <si>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</si>
  <si>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</si>
  <si>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</si>
  <si>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</si>
  <si>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</si>
  <si>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</si>
  <si>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</si>
  <si>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</si>
  <si>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</si>
  <si>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</si>
  <si>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</si>
  <si>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</si>
  <si>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</si>
  <si>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</si>
  <si>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</si>
  <si>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</si>
  <si>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</si>
  <si>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</si>
  <si>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</si>
  <si>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</si>
  <si>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</si>
  <si>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</si>
  <si>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</si>
  <si>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</si>
  <si>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</si>
  <si>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</si>
  <si>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</si>
  <si>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</si>
  <si>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</si>
  <si>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</si>
  <si>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</si>
  <si>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</si>
  <si>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</si>
  <si>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</si>
  <si>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</si>
  <si>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</si>
  <si>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</si>
  <si>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</si>
  <si>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</si>
  <si>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</si>
  <si>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</si>
  <si>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</si>
  <si>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</si>
  <si>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</si>
  <si>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</si>
  <si>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</si>
  <si>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</si>
  <si>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</si>
  <si>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</si>
  <si>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</si>
  <si>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</si>
  <si>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</si>
  <si>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</si>
  <si>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</si>
  <si>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</si>
  <si>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</si>
  <si>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</si>
  <si>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</si>
  <si>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</si>
  <si>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</si>
  <si>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</si>
  <si>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</si>
  <si>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</si>
  <si>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</si>
  <si>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</si>
  <si>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</si>
  <si>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</si>
  <si>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</si>
  <si>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</si>
  <si>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</si>
  <si>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</si>
  <si>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</si>
  <si>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</si>
  <si>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</si>
  <si>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</si>
  <si>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</si>
  <si>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</si>
  <si>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</si>
  <si>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</si>
  <si>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</si>
  <si>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</si>
  <si>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</si>
  <si>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</si>
  <si>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</si>
  <si>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</si>
  <si>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</si>
  <si>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</si>
  <si>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</si>
  <si>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</si>
  <si>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</si>
  <si>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</si>
  <si>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</si>
  <si>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</si>
  <si>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</si>
  <si>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</si>
  <si>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</si>
  <si>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</si>
  <si>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</si>
  <si>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</si>
  <si>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</si>
  <si>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</si>
  <si>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</si>
  <si>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</si>
  <si>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</si>
  <si>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</si>
  <si>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</si>
  <si>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</si>
  <si>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</si>
  <si>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</si>
  <si>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</si>
  <si>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</si>
  <si>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</si>
  <si>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</si>
  <si>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</si>
  <si>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</si>
  <si>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</si>
  <si>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</si>
  <si>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</si>
  <si>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</si>
  <si>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</si>
  <si>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</si>
  <si>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</si>
  <si>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</si>
  <si>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</si>
  <si>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</si>
  <si>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</si>
  <si>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</si>
  <si>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</si>
  <si>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</si>
  <si>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</si>
  <si>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</si>
  <si>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</si>
  <si>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</si>
  <si>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</si>
  <si>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</si>
  <si>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</si>
  <si>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</si>
  <si>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</si>
  <si>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</si>
  <si>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</si>
  <si>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</si>
  <si>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</si>
  <si>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</si>
  <si>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</si>
  <si>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</si>
  <si>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</si>
  <si>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</si>
  <si>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</si>
  <si>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</si>
  <si>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</si>
  <si>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</si>
  <si>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</si>
  <si>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</si>
  <si>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</si>
  <si>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</si>
  <si>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</si>
  <si>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</si>
  <si>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</si>
  <si>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</si>
  <si>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</si>
  <si>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</si>
  <si>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</si>
  <si>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</si>
  <si>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</si>
  <si>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</si>
  <si>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</si>
  <si>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</si>
  <si>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</si>
  <si>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</si>
  <si>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</si>
  <si>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</si>
  <si>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</si>
  <si>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</si>
  <si>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</si>
  <si>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</si>
  <si>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</si>
  <si>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</si>
  <si>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</si>
  <si>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</si>
  <si>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</si>
  <si>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</si>
  <si>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</si>
  <si>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</si>
  <si>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</si>
  <si>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</si>
  <si>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</si>
  <si>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</si>
  <si>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</si>
  <si>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</si>
  <si>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</si>
  <si>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</si>
  <si>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</si>
  <si>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</si>
  <si>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</si>
  <si>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</si>
  <si>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</si>
  <si>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</si>
  <si>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</si>
  <si>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</si>
  <si>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</si>
  <si>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</si>
  <si>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</si>
  <si>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</si>
  <si>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</si>
  <si>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</si>
  <si>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</si>
  <si>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</si>
  <si>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</si>
  <si>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</si>
  <si>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</si>
  <si>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</si>
  <si>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</si>
  <si>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</si>
  <si>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</si>
  <si>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</si>
  <si>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</si>
  <si>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</si>
  <si>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</si>
  <si>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</si>
  <si>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</si>
  <si>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</si>
  <si>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</si>
  <si>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</si>
  <si>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</si>
  <si>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</si>
  <si>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</si>
  <si>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</si>
  <si>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</si>
  <si>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</si>
  <si>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</si>
  <si>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</si>
  <si>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</si>
  <si>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</si>
  <si>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</si>
  <si>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</si>
  <si>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</si>
  <si>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</si>
  <si>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</si>
  <si>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</si>
  <si>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</si>
  <si>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</si>
  <si>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</si>
  <si>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</si>
  <si>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</si>
  <si>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</si>
  <si>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</si>
  <si>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</si>
  <si>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</si>
  <si>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</si>
  <si>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</si>
  <si>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</si>
  <si>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</si>
  <si>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</si>
  <si>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</si>
  <si>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</si>
  <si>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</si>
  <si>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</si>
  <si>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</si>
  <si>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</si>
  <si>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</si>
  <si>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</si>
  <si>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</si>
  <si>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</si>
  <si>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</si>
  <si>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</si>
  <si>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</si>
  <si>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</si>
  <si>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</si>
  <si>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</si>
  <si>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</si>
  <si>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</si>
  <si>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</si>
  <si>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</si>
  <si>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</si>
  <si>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</si>
  <si>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</si>
  <si>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</si>
  <si>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</si>
  <si>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</si>
  <si>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</si>
  <si>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</si>
  <si>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</si>
  <si>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</si>
  <si>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</si>
  <si>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</si>
  <si>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</si>
  <si>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</si>
  <si>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</si>
  <si>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</si>
  <si>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</si>
  <si>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</si>
  <si>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</si>
  <si>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</si>
  <si>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</si>
  <si>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</si>
  <si>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</si>
  <si>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</si>
  <si>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</si>
  <si>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</si>
  <si>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</si>
  <si>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</si>
  <si>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</si>
  <si>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</si>
  <si>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</si>
  <si>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</si>
  <si>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</si>
  <si>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</si>
  <si>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</si>
  <si>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</si>
  <si>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</si>
  <si>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</si>
  <si>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</si>
  <si>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</si>
  <si>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</si>
  <si>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</si>
  <si>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</si>
  <si>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</si>
  <si>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</si>
  <si>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</si>
  <si>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</si>
  <si>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</si>
  <si>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</si>
  <si>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</si>
  <si>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</si>
  <si>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</si>
  <si>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</si>
  <si>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</si>
  <si>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</si>
  <si>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</si>
  <si>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</si>
  <si>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</si>
  <si>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</si>
  <si>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</si>
  <si>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</si>
  <si>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</si>
  <si>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</si>
  <si>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</si>
  <si>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</si>
  <si>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</si>
  <si>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</si>
  <si>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</si>
  <si>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</si>
  <si>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</si>
  <si>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</si>
  <si>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</si>
  <si>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</si>
  <si>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</si>
  <si>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</si>
  <si>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</si>
  <si>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</si>
  <si>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</si>
  <si>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</si>
  <si>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</si>
  <si>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</si>
  <si>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</si>
  <si>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</si>
  <si>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</si>
  <si>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</si>
  <si>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</si>
  <si>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</si>
  <si>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</si>
  <si>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</si>
  <si>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</si>
  <si>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</si>
  <si>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</si>
  <si>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</si>
  <si>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</si>
  <si>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</si>
  <si>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</si>
  <si>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</si>
  <si>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</si>
  <si>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</si>
  <si>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</si>
  <si>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</si>
  <si>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</si>
  <si>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</si>
  <si>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</si>
  <si>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</si>
  <si>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</si>
  <si>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</si>
  <si>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</si>
  <si>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</si>
  <si>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</si>
  <si>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</si>
  <si>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</si>
  <si>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</si>
  <si>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</si>
  <si>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</si>
  <si>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</si>
  <si>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</si>
  <si>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</si>
  <si>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</si>
  <si>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</si>
  <si>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</si>
  <si>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</si>
  <si>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</si>
  <si>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</si>
  <si>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</si>
  <si>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</si>
  <si>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</si>
  <si>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</si>
  <si>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</si>
  <si>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</si>
  <si>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</si>
  <si>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</si>
  <si>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</si>
  <si>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</si>
  <si>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</si>
  <si>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</si>
  <si>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</si>
  <si>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</si>
  <si>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</si>
  <si>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</si>
  <si>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</si>
  <si>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</si>
  <si>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</si>
  <si>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</si>
  <si>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</si>
  <si>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</si>
  <si>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</si>
  <si>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</si>
  <si>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</si>
  <si>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</si>
  <si>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</si>
  <si>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</si>
  <si>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</si>
  <si>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</si>
  <si>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</si>
  <si>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</si>
  <si>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</si>
  <si>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</si>
  <si>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</si>
  <si>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</si>
  <si>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</si>
  <si>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</si>
  <si>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</si>
  <si>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</si>
  <si>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</si>
  <si>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</si>
  <si>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</si>
  <si>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</si>
  <si>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</si>
  <si>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</si>
  <si>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</si>
  <si>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</si>
  <si>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</si>
  <si>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</si>
  <si>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</si>
  <si>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</si>
  <si>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</si>
  <si>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</si>
  <si>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</si>
  <si>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</si>
  <si>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</si>
  <si>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</si>
  <si>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</si>
  <si>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</si>
  <si>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</si>
  <si>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</si>
  <si>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</si>
  <si>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</si>
  <si>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</si>
  <si>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</si>
  <si>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</si>
  <si>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</si>
  <si>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</si>
  <si>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</si>
  <si>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</si>
  <si>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</si>
  <si>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</si>
  <si>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</si>
  <si>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</si>
  <si>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</si>
  <si>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</si>
  <si>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</si>
  <si>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</si>
  <si>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</si>
  <si>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</si>
  <si>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</si>
  <si>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</si>
  <si>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</si>
  <si>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</si>
  <si>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</si>
  <si>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</si>
  <si>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</si>
  <si>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</si>
  <si>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</si>
  <si>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</si>
  <si>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</si>
  <si>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</si>
  <si>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</si>
  <si>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</si>
  <si>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</si>
  <si>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</si>
  <si>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</si>
  <si>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</si>
  <si>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</si>
  <si>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</si>
  <si>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</si>
  <si>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</si>
  <si>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</si>
  <si>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</si>
  <si>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</si>
  <si>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</si>
  <si>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</si>
  <si>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</si>
  <si>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</si>
  <si>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</si>
  <si>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</si>
  <si>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</si>
  <si>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</si>
  <si>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</si>
  <si>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</si>
  <si>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</si>
  <si>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</si>
  <si>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</si>
  <si>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</si>
  <si>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</si>
  <si>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</si>
  <si>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</si>
  <si>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</si>
  <si>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</si>
  <si>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</si>
  <si>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</si>
  <si>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</si>
  <si>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</si>
  <si>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</si>
  <si>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</si>
  <si>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</si>
  <si>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</si>
  <si>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</si>
  <si>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</si>
  <si>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</si>
  <si>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</si>
  <si>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</si>
  <si>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</si>
  <si>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</si>
  <si>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</si>
  <si>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</si>
  <si>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</si>
  <si>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</si>
  <si>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</si>
  <si>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</si>
  <si>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</si>
  <si>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</si>
  <si>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</si>
  <si>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</si>
  <si>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</si>
  <si>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</si>
  <si>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</si>
  <si>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</si>
  <si>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</si>
  <si>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</si>
  <si>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</si>
  <si>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</si>
  <si>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</si>
  <si>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</si>
  <si>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</si>
  <si>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</si>
  <si>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</si>
  <si>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</si>
  <si>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</si>
  <si>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</si>
  <si>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</si>
  <si>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</si>
  <si>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</si>
  <si>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</si>
  <si>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</si>
  <si>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</si>
  <si>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</si>
  <si>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</si>
  <si>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</si>
  <si>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</si>
  <si>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</si>
  <si>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</si>
  <si>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</si>
  <si>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</si>
  <si>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</si>
  <si>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</si>
  <si>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</si>
  <si>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</si>
  <si>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</si>
  <si>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</si>
  <si>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</si>
  <si>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</si>
  <si>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</si>
  <si>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</si>
  <si>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</si>
  <si>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</si>
  <si>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</si>
  <si>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</si>
  <si>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</si>
  <si>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</si>
  <si>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</si>
  <si>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</si>
  <si>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</si>
  <si>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</si>
  <si>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</si>
  <si>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</si>
  <si>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</si>
  <si>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</si>
  <si>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</si>
  <si>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</si>
  <si>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</si>
  <si>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</si>
  <si>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</si>
  <si>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</si>
  <si>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</si>
  <si>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</si>
  <si>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</si>
  <si>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</si>
  <si>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</si>
  <si>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</si>
  <si>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</si>
  <si>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</si>
  <si>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</si>
  <si>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</si>
  <si>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</si>
  <si>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</si>
  <si>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</si>
  <si>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</si>
  <si>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</si>
  <si>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</si>
  <si>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</si>
  <si>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</si>
  <si>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</si>
  <si>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</si>
  <si>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</si>
  <si>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</si>
  <si>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</si>
  <si>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</si>
  <si>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</si>
  <si>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</si>
  <si>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</si>
  <si>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</si>
  <si>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</si>
  <si>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</si>
  <si>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</si>
  <si>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</si>
  <si>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</si>
  <si>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</si>
  <si>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</si>
  <si>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</si>
  <si>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</si>
  <si>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</si>
  <si>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</si>
  <si>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</si>
  <si>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</si>
  <si>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</si>
  <si>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</si>
  <si>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</si>
  <si>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</si>
  <si>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</si>
  <si>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</si>
  <si>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</si>
  <si>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</si>
  <si>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</si>
  <si>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</si>
  <si>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</si>
  <si>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</si>
  <si>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</si>
  <si>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</si>
  <si>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</si>
  <si>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</si>
  <si>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</si>
  <si>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</si>
  <si>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</si>
  <si>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</si>
  <si>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</si>
  <si>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</si>
  <si>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</si>
  <si>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</si>
  <si>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</si>
  <si>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</si>
  <si>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</si>
  <si>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</si>
  <si>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</si>
  <si>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</si>
  <si>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</si>
  <si>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</si>
  <si>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</si>
  <si>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</si>
  <si>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</si>
  <si>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</si>
  <si>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</si>
  <si>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</si>
  <si>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</si>
  <si>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</si>
  <si>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</si>
  <si>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</si>
  <si>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</si>
  <si>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</si>
  <si>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</si>
  <si>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</si>
  <si>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</si>
  <si>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</si>
  <si>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</si>
  <si>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</si>
  <si>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</si>
  <si>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</si>
  <si>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</si>
  <si>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</si>
  <si>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</si>
  <si>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</si>
  <si>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</si>
  <si>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</si>
  <si>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</si>
  <si>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</si>
  <si>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</si>
  <si>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</si>
  <si>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</si>
  <si>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</si>
  <si>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</si>
  <si>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</si>
  <si>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</si>
  <si>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</si>
  <si>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</si>
  <si>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</si>
  <si>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</si>
  <si>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</si>
  <si>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</si>
  <si>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</si>
  <si>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</si>
  <si>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</si>
  <si>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</si>
  <si>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</si>
  <si>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</si>
  <si>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</si>
  <si>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</si>
  <si>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</si>
  <si>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</si>
  <si>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</si>
  <si>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</si>
  <si>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</si>
  <si>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</si>
  <si>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</si>
  <si>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</si>
  <si>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</si>
  <si>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</si>
  <si>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</si>
  <si>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</si>
  <si>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</si>
  <si>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</si>
  <si>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</si>
  <si>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</si>
  <si>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</si>
  <si>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</si>
  <si>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</si>
  <si>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</si>
  <si>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</si>
  <si>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</si>
  <si>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</si>
  <si>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</si>
  <si>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</si>
  <si>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</si>
  <si>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</si>
  <si>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</si>
  <si>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</si>
  <si>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</si>
  <si>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</si>
  <si>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</si>
  <si>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</si>
  <si>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</si>
  <si>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</si>
  <si>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</si>
  <si>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</si>
  <si>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</si>
  <si>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</si>
  <si>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</si>
  <si>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</si>
  <si>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</si>
  <si>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</si>
  <si>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</si>
  <si>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</si>
  <si>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</si>
  <si>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</si>
  <si>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</si>
  <si>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</si>
  <si>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</si>
  <si>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</si>
  <si>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</si>
  <si>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</si>
  <si>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</si>
  <si>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</si>
  <si>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</si>
  <si>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</si>
  <si>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</si>
  <si>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</si>
  <si>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</si>
  <si>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</si>
  <si>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</si>
  <si>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</si>
  <si>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</si>
  <si>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</si>
  <si>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</si>
  <si>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</si>
  <si>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</si>
  <si>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</si>
  <si>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</si>
  <si>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</si>
  <si>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</si>
  <si>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</si>
  <si>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</si>
  <si>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</si>
  <si>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</si>
  <si>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</si>
  <si>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</si>
  <si>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</si>
  <si>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</si>
  <si>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</si>
  <si>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</si>
  <si>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</si>
  <si>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</si>
  <si>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</si>
  <si>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</si>
  <si>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</si>
  <si>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</si>
  <si>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</si>
  <si>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</si>
  <si>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</si>
  <si>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</si>
  <si>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</si>
  <si>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</si>
  <si>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</si>
  <si>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</si>
  <si>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</si>
  <si>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</si>
  <si>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</si>
  <si>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</si>
  <si>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</si>
  <si>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</si>
  <si>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</si>
  <si>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</si>
  <si>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</si>
  <si>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</si>
  <si>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</si>
  <si>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</si>
  <si>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</si>
  <si>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</si>
  <si>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</si>
  <si>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</si>
  <si>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</si>
  <si>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</si>
  <si>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</si>
  <si>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</si>
  <si>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</si>
  <si>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</si>
  <si>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</si>
  <si>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</si>
  <si>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</si>
  <si>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</si>
  <si>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</si>
  <si>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</si>
  <si>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</si>
  <si>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</si>
  <si>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</si>
  <si>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</si>
  <si>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</si>
  <si>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</si>
  <si>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</si>
  <si>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</si>
  <si>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</si>
  <si>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</si>
  <si>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</si>
  <si>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</si>
  <si>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</si>
  <si>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</si>
  <si>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</si>
  <si>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</si>
  <si>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</si>
  <si>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</si>
  <si>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</si>
  <si>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</si>
  <si>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</si>
  <si>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</si>
  <si>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</si>
  <si>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</si>
  <si>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</si>
  <si>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</si>
  <si>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</si>
  <si>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</si>
  <si>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</si>
  <si>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</si>
  <si>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</si>
  <si>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</si>
  <si>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</si>
  <si>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</si>
  <si>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</si>
  <si>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</si>
  <si>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</si>
  <si>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</si>
  <si>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</si>
  <si>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</si>
  <si>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</si>
  <si>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</si>
  <si>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</si>
  <si>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</si>
  <si>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</si>
  <si>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</si>
  <si>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</si>
  <si>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</si>
  <si>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</si>
  <si>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</si>
  <si>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</si>
  <si>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</si>
  <si>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</si>
  <si>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</si>
  <si>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</si>
  <si>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</si>
  <si>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</si>
  <si>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</si>
  <si>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</si>
  <si>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</si>
  <si>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</si>
  <si>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</si>
  <si>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</si>
  <si>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</si>
  <si>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</si>
  <si>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</si>
  <si>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</si>
  <si>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</si>
  <si>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</si>
  <si>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</si>
  <si>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</si>
  <si>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</si>
  <si>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</si>
  <si>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</si>
  <si>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</si>
  <si>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</si>
  <si>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</si>
  <si>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</si>
  <si>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</si>
  <si>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</si>
  <si>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</si>
  <si>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</si>
  <si>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</si>
  <si>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</si>
  <si>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</si>
  <si>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</si>
  <si>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</si>
  <si>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</si>
  <si>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</si>
  <si>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</si>
  <si>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</si>
  <si>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</si>
  <si>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</si>
  <si>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</si>
  <si>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</si>
  <si>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</si>
  <si>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</si>
  <si>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</si>
  <si>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</si>
  <si>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</si>
  <si>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</si>
  <si>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</si>
  <si>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</si>
  <si>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</si>
  <si>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</si>
  <si>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</si>
  <si>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</si>
  <si>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</si>
  <si>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</si>
  <si>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</si>
  <si>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</si>
  <si>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</si>
  <si>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</si>
  <si>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</si>
  <si>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</si>
  <si>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</si>
  <si>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</si>
  <si>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</si>
  <si>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</si>
  <si>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</si>
  <si>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</si>
  <si>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</si>
  <si>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</si>
  <si>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</si>
  <si>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</si>
  <si>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</si>
  <si>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</si>
  <si>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</si>
  <si>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</si>
  <si>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</si>
  <si>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</si>
  <si>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</si>
  <si>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</si>
  <si>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</si>
  <si>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</si>
  <si>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</si>
  <si>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</si>
  <si>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</si>
  <si>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</si>
  <si>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</si>
  <si>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</si>
  <si>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</si>
  <si>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</si>
  <si>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</si>
  <si>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</si>
  <si>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</si>
  <si>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</si>
  <si>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</si>
  <si>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</si>
  <si>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</si>
  <si>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</si>
  <si>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</si>
  <si>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</si>
  <si>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</si>
  <si>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</si>
  <si>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</si>
  <si>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</si>
  <si>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</si>
  <si>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</si>
  <si>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</si>
  <si>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</si>
  <si>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</si>
  <si>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</si>
  <si>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</si>
  <si>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</si>
  <si>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</si>
  <si>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</si>
  <si>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</si>
  <si>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</si>
  <si>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</si>
  <si>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</si>
  <si>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</si>
  <si>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</si>
  <si>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</si>
  <si>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</si>
  <si>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</si>
  <si>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</si>
  <si>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</si>
  <si>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</si>
  <si>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</si>
  <si>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</si>
  <si>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</si>
  <si>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</si>
  <si>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</si>
  <si>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</si>
  <si>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</si>
  <si>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</si>
  <si>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</si>
  <si>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</si>
  <si>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</si>
  <si>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</si>
  <si>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</si>
  <si>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</si>
  <si>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</si>
  <si>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</si>
  <si>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</si>
  <si>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</si>
  <si>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</si>
  <si>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</si>
  <si>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</si>
  <si>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</si>
  <si>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</si>
  <si>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</si>
  <si>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</si>
  <si>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</si>
  <si>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</si>
  <si>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</si>
  <si>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</si>
  <si>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</si>
  <si>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</si>
  <si>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</si>
  <si>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</si>
  <si>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</si>
  <si>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</si>
  <si>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</si>
  <si>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</si>
  <si>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</si>
  <si>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</si>
  <si>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</si>
  <si>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</si>
  <si>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</si>
  <si>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</si>
  <si>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</si>
  <si>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</si>
  <si>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</si>
  <si>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</si>
  <si>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</si>
  <si>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</si>
  <si>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</si>
  <si>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</si>
  <si>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</si>
  <si>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</si>
  <si>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</si>
  <si>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</si>
  <si>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</si>
  <si>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</si>
  <si>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</si>
  <si>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</si>
  <si>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</si>
  <si>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</si>
  <si>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</si>
  <si>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</si>
  <si>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</si>
  <si>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</si>
  <si>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</si>
  <si>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</si>
  <si>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</si>
  <si>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</si>
  <si>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</si>
  <si>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</si>
  <si>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</si>
  <si>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</si>
  <si>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</si>
  <si>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</si>
  <si>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</si>
  <si>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</si>
  <si>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</si>
  <si>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</si>
  <si>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</si>
  <si>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</si>
  <si>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</si>
  <si>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</si>
  <si>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</si>
  <si>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</si>
  <si>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</si>
  <si>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</si>
  <si>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</si>
  <si>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</si>
  <si>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</si>
  <si>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</si>
  <si>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</si>
  <si>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</si>
  <si>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</si>
  <si>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</si>
  <si>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</si>
  <si>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</si>
  <si>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</si>
  <si>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</si>
  <si>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</si>
  <si>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</si>
  <si>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</si>
  <si>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</si>
  <si>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</si>
  <si>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</si>
  <si>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</si>
  <si>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</si>
  <si>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</si>
  <si>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</si>
  <si>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</si>
  <si>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</si>
  <si>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</si>
  <si>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</si>
  <si>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</si>
  <si>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</si>
  <si>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</si>
  <si>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</si>
  <si>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</si>
  <si>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</si>
  <si>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</si>
  <si>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</si>
  <si>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</si>
  <si>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</si>
  <si>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</si>
  <si>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</si>
  <si>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</si>
  <si>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</si>
  <si>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</si>
  <si>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</si>
  <si>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</si>
  <si>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</si>
  <si>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</si>
  <si>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</si>
  <si>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</si>
  <si>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</si>
  <si>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</si>
  <si>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</si>
  <si>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</si>
  <si>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</si>
  <si>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</si>
  <si>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</si>
  <si>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</si>
  <si>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</si>
  <si>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</si>
  <si>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</si>
  <si>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</si>
  <si>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</si>
  <si>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</si>
  <si>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</si>
  <si>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</si>
  <si>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</si>
  <si>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</si>
  <si>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</si>
  <si>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</si>
  <si>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</si>
  <si>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</si>
  <si>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</si>
  <si>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</si>
  <si>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</si>
  <si>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</si>
  <si>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</si>
  <si>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</si>
  <si>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</si>
  <si>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</si>
  <si>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</si>
  <si>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</si>
  <si>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</si>
  <si>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</si>
  <si>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</si>
  <si>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</si>
  <si>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</si>
  <si>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</si>
  <si>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</si>
  <si>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</si>
  <si>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</si>
  <si>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</si>
  <si>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</si>
  <si>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</si>
  <si>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</si>
  <si>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</si>
  <si>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</si>
  <si>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</si>
  <si>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</si>
  <si>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</si>
  <si>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</si>
  <si>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</si>
  <si>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</si>
  <si>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</si>
  <si>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</si>
  <si>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</si>
  <si>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</si>
  <si>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</si>
  <si>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</si>
  <si>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</si>
  <si>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</si>
  <si>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</si>
  <si>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</si>
  <si>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</si>
  <si>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</si>
  <si>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</si>
  <si>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</si>
  <si>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</si>
  <si>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</si>
  <si>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</si>
  <si>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</si>
  <si>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</si>
  <si>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</si>
  <si>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</si>
  <si>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</si>
  <si>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</si>
  <si>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</si>
  <si>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</si>
  <si>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</si>
  <si>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</si>
  <si>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</si>
  <si>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</si>
  <si>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</si>
  <si>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</si>
  <si>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</si>
  <si>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</si>
  <si>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</si>
  <si>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</si>
  <si>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</si>
  <si>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</si>
  <si>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</si>
  <si>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</si>
  <si>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</si>
  <si>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</si>
  <si>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</si>
  <si>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</si>
  <si>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</si>
  <si>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</si>
  <si>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</si>
  <si>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</si>
  <si>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</si>
  <si>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</si>
  <si>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</si>
  <si>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</si>
  <si>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</si>
  <si>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</si>
  <si>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</si>
  <si>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</si>
  <si>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</si>
  <si>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</si>
  <si>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</si>
  <si>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</si>
  <si>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</si>
  <si>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</si>
  <si>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</si>
  <si>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</si>
  <si>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</si>
  <si>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</si>
  <si>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</si>
  <si>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</si>
  <si>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</si>
  <si>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</si>
  <si>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</si>
  <si>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</si>
  <si>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</si>
  <si>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</si>
  <si>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</si>
  <si>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</si>
  <si>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</si>
  <si>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</si>
  <si>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</si>
  <si>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</si>
  <si>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</si>
  <si>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</si>
  <si>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</si>
  <si>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</si>
  <si>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</si>
  <si>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</si>
  <si>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</si>
  <si>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</si>
  <si>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</si>
  <si>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</si>
  <si>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</si>
  <si>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</si>
  <si>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</si>
  <si>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</si>
  <si>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</si>
  <si>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</si>
  <si>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</si>
  <si>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</si>
  <si>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</si>
  <si>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</si>
  <si>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</si>
  <si>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</si>
  <si>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</si>
  <si>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</si>
  <si>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</si>
  <si>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</si>
  <si>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</si>
  <si>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</si>
  <si>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</si>
  <si>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</si>
  <si>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</si>
  <si>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</si>
  <si>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</si>
  <si>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</si>
  <si>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</si>
  <si>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</si>
  <si>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</si>
  <si>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</si>
  <si>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</si>
  <si>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</si>
  <si>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</si>
  <si>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</si>
  <si>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</si>
  <si>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</si>
  <si>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</si>
  <si>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</si>
  <si>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</si>
  <si>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</si>
  <si>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</si>
  <si>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</si>
  <si>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</si>
  <si>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</si>
  <si>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</si>
  <si>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</si>
  <si>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</si>
  <si>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</si>
  <si>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</si>
  <si>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</si>
  <si>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</si>
  <si>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</si>
  <si>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</si>
  <si>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</si>
  <si>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</si>
  <si>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</si>
  <si>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</si>
  <si>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</si>
  <si>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</si>
  <si>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</si>
  <si>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</si>
  <si>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</si>
  <si>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</si>
  <si>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</si>
  <si>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</si>
  <si>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</si>
  <si>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</si>
  <si>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</si>
  <si>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</si>
  <si>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</si>
  <si>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</si>
  <si>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</si>
  <si>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</si>
  <si>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</si>
  <si>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</si>
  <si>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</si>
  <si>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</si>
  <si>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</si>
  <si>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</si>
  <si>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</si>
  <si>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</si>
  <si>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</si>
  <si>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</si>
  <si>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</si>
  <si>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</si>
  <si>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</si>
  <si>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</si>
  <si>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</si>
  <si>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</si>
  <si>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</si>
  <si>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</si>
  <si>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</si>
  <si>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</si>
  <si>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</si>
  <si>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</si>
  <si>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</si>
  <si>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</si>
  <si>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</si>
  <si>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</si>
  <si>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</si>
  <si>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</si>
  <si>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</si>
  <si>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</si>
  <si>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</si>
  <si>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</si>
  <si>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</si>
  <si>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</si>
  <si>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</si>
  <si>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</si>
  <si>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</si>
  <si>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</si>
  <si>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</si>
  <si>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</si>
  <si>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</si>
  <si>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</si>
  <si>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</si>
  <si>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</si>
  <si>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</si>
  <si>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</si>
  <si>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</si>
  <si>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</si>
  <si>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</si>
  <si>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</si>
  <si>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</si>
  <si>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</si>
  <si>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</si>
  <si>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</si>
  <si>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</si>
  <si>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</si>
  <si>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</si>
  <si>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</si>
  <si>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</si>
  <si>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</si>
  <si>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</si>
  <si>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</si>
  <si>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</si>
  <si>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</si>
  <si>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</si>
  <si>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</si>
  <si>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</si>
  <si>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</si>
  <si>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</si>
  <si>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</si>
  <si>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</si>
  <si>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</si>
  <si>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</si>
  <si>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</si>
  <si>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</si>
  <si>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</si>
  <si>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</si>
  <si>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</si>
  <si>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</si>
  <si>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</si>
  <si>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</si>
  <si>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</si>
  <si>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</si>
  <si>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</si>
  <si>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</si>
  <si>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</si>
  <si>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</si>
  <si>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</si>
  <si>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</si>
  <si>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</si>
  <si>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</si>
  <si>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</si>
  <si>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</si>
  <si>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</si>
  <si>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</si>
  <si>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</si>
  <si>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</si>
  <si>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</si>
  <si>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</si>
  <si>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</si>
  <si>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</si>
  <si>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</si>
  <si>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</si>
  <si>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</si>
  <si>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</si>
  <si>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</si>
  <si>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</si>
  <si>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</si>
  <si>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</si>
  <si>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</si>
  <si>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</si>
  <si>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</si>
  <si>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</si>
  <si>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</si>
  <si>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</si>
  <si>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</si>
  <si>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</si>
  <si>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</si>
  <si>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</si>
  <si>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</si>
  <si>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</si>
  <si>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</si>
  <si>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</si>
  <si>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</si>
  <si>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</si>
  <si>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</si>
  <si>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</si>
  <si>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</si>
  <si>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</si>
  <si>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</si>
  <si>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</si>
  <si>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</si>
  <si>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</si>
  <si>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</si>
  <si>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</si>
  <si>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</si>
  <si>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</si>
  <si>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</si>
  <si>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</si>
  <si>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</si>
  <si>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</si>
  <si>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</si>
  <si>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</si>
  <si>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</si>
  <si>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</si>
  <si>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</si>
  <si>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</si>
  <si>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</si>
  <si>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</si>
  <si>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</si>
  <si>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</si>
  <si>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</si>
  <si>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</si>
  <si>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</si>
  <si>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</si>
  <si>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</si>
  <si>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</si>
  <si>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</si>
  <si>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</si>
  <si>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</si>
  <si>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</si>
  <si>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</si>
  <si>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</si>
  <si>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</si>
  <si>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</si>
  <si>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</si>
  <si>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</si>
  <si>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</si>
  <si>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</si>
  <si>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</si>
  <si>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</si>
  <si>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</si>
  <si>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</si>
  <si>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</si>
  <si>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</si>
  <si>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</si>
  <si>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</si>
  <si>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</si>
  <si>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</si>
  <si>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</si>
  <si>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</si>
  <si>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</si>
  <si>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</si>
  <si>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</si>
  <si>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</si>
  <si>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</si>
  <si>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</si>
  <si>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</si>
  <si>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</si>
  <si>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</si>
  <si>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</si>
  <si>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</si>
  <si>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</si>
  <si>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</si>
  <si>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</si>
  <si>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</si>
  <si>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</si>
  <si>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</si>
  <si>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</si>
  <si>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</si>
  <si>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</si>
  <si>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</si>
  <si>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</si>
  <si>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</si>
  <si>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</si>
  <si>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</si>
  <si>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</si>
  <si>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</si>
  <si>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</si>
  <si>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</si>
  <si>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</si>
  <si>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</si>
  <si>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</si>
  <si>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</si>
  <si>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</si>
  <si>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</si>
  <si>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</si>
  <si>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</si>
  <si>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</si>
  <si>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</si>
  <si>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</si>
  <si>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</si>
  <si>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</si>
  <si>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</si>
  <si>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</si>
  <si>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</si>
  <si>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</si>
  <si>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</si>
  <si>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</si>
  <si>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</si>
  <si>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</si>
  <si>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</si>
  <si>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</si>
  <si>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</si>
  <si>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</si>
  <si>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</si>
  <si>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</si>
  <si>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</si>
  <si>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</si>
  <si>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</si>
  <si>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</si>
  <si>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</si>
  <si>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</si>
  <si>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</si>
  <si>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</si>
  <si>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</si>
  <si>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</si>
  <si>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</si>
  <si>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</si>
  <si>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</si>
  <si>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</si>
  <si>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</si>
  <si>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</si>
  <si>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</si>
  <si>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</si>
  <si>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</si>
  <si>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</si>
  <si>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</si>
  <si>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</si>
  <si>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</si>
  <si>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</si>
  <si>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</si>
  <si>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</si>
  <si>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</si>
  <si>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</si>
  <si>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</si>
  <si>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</si>
  <si>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</si>
  <si>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</si>
  <si>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</si>
  <si>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</si>
  <si>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</si>
  <si>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</si>
  <si>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</si>
  <si>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</si>
  <si>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</si>
  <si>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</si>
  <si>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</si>
  <si>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</si>
  <si>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</si>
  <si>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</si>
  <si>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</si>
  <si>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</si>
  <si>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</si>
  <si>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</si>
  <si>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</si>
  <si>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</si>
  <si>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</si>
  <si>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</si>
  <si>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</si>
  <si>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</si>
  <si>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</si>
  <si>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</si>
  <si>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</si>
  <si>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</si>
  <si>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</si>
  <si>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</si>
  <si>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</si>
  <si>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</si>
  <si>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</si>
  <si>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</si>
  <si>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</si>
  <si>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</si>
  <si>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</si>
  <si>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</si>
  <si>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</si>
  <si>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</si>
  <si>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</si>
  <si>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</si>
  <si>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</si>
  <si>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</si>
  <si>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</si>
  <si>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</si>
  <si>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</si>
  <si>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</si>
  <si>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</si>
  <si>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</si>
  <si>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</si>
  <si>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</si>
  <si>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</si>
  <si>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</si>
  <si>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</si>
  <si>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</si>
  <si>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</si>
  <si>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</si>
  <si>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</si>
  <si>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</si>
  <si>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</si>
  <si>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</si>
  <si>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</si>
  <si>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</si>
  <si>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</si>
  <si>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</si>
  <si>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</si>
  <si>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</si>
  <si>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</si>
  <si>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</si>
  <si>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</si>
  <si>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</si>
  <si>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</si>
  <si>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</si>
  <si>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</si>
  <si>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</si>
  <si>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</si>
  <si>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</si>
  <si>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</si>
  <si>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</si>
  <si>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</si>
  <si>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</si>
  <si>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</si>
  <si>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</si>
  <si>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</si>
  <si>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</si>
  <si>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</si>
  <si>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</si>
  <si>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</si>
  <si>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</si>
  <si>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</si>
  <si>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</si>
  <si>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</si>
  <si>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</si>
  <si>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</si>
  <si>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</si>
  <si>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</si>
  <si>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</si>
  <si>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</si>
  <si>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</si>
  <si>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</si>
  <si>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</si>
  <si>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</si>
  <si>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</si>
  <si>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</si>
  <si>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</si>
  <si>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</si>
  <si>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</si>
  <si>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</si>
  <si>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</si>
  <si>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</si>
  <si>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</si>
  <si>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</si>
  <si>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</si>
  <si>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</si>
  <si>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</si>
  <si>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</si>
  <si>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</si>
  <si>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</si>
  <si>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</si>
  <si>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</si>
  <si>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</si>
  <si>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</si>
  <si>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</si>
  <si>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</si>
  <si>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</si>
  <si>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</si>
  <si>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</si>
  <si>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</si>
  <si>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</si>
  <si>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</si>
  <si>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</si>
  <si>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</si>
  <si>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</si>
  <si>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</si>
  <si>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</si>
  <si>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</si>
  <si>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</si>
  <si>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</si>
  <si>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</si>
  <si>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</si>
  <si>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</si>
  <si>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</si>
  <si>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</si>
  <si>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</si>
  <si>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</si>
  <si>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</si>
  <si>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</si>
  <si>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</si>
  <si>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</si>
  <si>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</si>
  <si>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</si>
  <si>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</si>
  <si>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</si>
  <si>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</si>
  <si>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</si>
  <si>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</si>
  <si>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</si>
  <si>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</si>
  <si>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</si>
  <si>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</si>
  <si>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</si>
  <si>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|dh|G311716|13#624|PVH*#-*#Necarex*#EK*#2024*#pool|Ron*#van*#Deursen|ekpool@donron.nl||DD|P|##|##|1000|5000|3000|2000|||||50|20|#0|20|20|20|10|30|10|##|A10|E10|X##|BANA|</t>
  </si>
  <si>
    <t>&lt;0|00|0|00|00&gt;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</si>
</sst>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40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4" zoomScaleNormal="100" workbookViewId="0"/>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PVH - Necarex EK 2024 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België</v>
      </c>
      <c r="AT11" s="292" t="str">
        <f ca="1">RIGHT(LEFT($AL$88,$BA11),2)</f>
        <v>E1</v>
      </c>
      <c r="AU11" s="291" t="str">
        <f ca="1">IF(AV11=$AR$11,$AQ$11,IF(AV11=$AR$12,$AQ$12,VLOOKUP(AV11,Voorblad!$X$67:$Z$98,2,FALSE)))</f>
        <v>België</v>
      </c>
      <c r="AV11" s="292" t="str">
        <f ca="1">RIGHT(LEFT($AL$89,$BA11),2)</f>
        <v>E1</v>
      </c>
      <c r="AW11" s="291" t="str">
        <f ca="1">IF(AX11=$AR$11,$AQ$11,IF(AX11=$AR$12,$AQ$12,VLOOKUP(AX11,Voorblad!$X$67:$Z$98,2,FALSE)))</f>
        <v>Albanië</v>
      </c>
      <c r="AX11" s="292" t="str">
        <f ca="1">RIGHT(LEFT($AL$91,$BA11),2)</f>
        <v>B4</v>
      </c>
      <c r="AY11" s="291" t="str">
        <f ca="1">IF(AZ11=$AR$11,$AQ$11,IF(AZ11=$AR$12,$AQ$12,VLOOKUP(AZ11,Voorblad!$X$67:$Z$98,2,FALSE)))</f>
        <v>Albanië</v>
      </c>
      <c r="AZ11" s="292" t="str">
        <f ca="1">RIGHT(LEFT($AL$92,$BA11),2)</f>
        <v>B4</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Frankrijk</v>
      </c>
      <c r="AT12" s="292" t="str">
        <f t="shared" ref="AT12:AT27" ca="1" si="0">RIGHT(LEFT($AL$88,$BA12),2)</f>
        <v>D4</v>
      </c>
      <c r="AU12" s="291" t="str">
        <f ca="1">IF(AV12=$AR$11,$AQ$11,IF(AV12=$AR$12,$AQ$12,VLOOKUP(AV12,Voorblad!$X$67:$Z$98,2,FALSE)))</f>
        <v>Duitsland</v>
      </c>
      <c r="AV12" s="292" t="str">
        <f t="shared" ref="AV12:AV27" ca="1" si="1">RIGHT(LEFT($AL$89,$BA12),2)</f>
        <v>A1</v>
      </c>
      <c r="AW12" s="291" t="str">
        <f ca="1">IF(AX12=$AR$11,$AQ$11,IF(AX12=$AR$12,$AQ$12,VLOOKUP(AX12,Voorblad!$X$67:$Z$98,2,FALSE)))</f>
        <v>Denemarken</v>
      </c>
      <c r="AX12" s="292" t="str">
        <f t="shared" ref="AX12:AX27" ca="1" si="2">RIGHT(LEFT($AL$91,$BA12),2)</f>
        <v>C2</v>
      </c>
      <c r="AY12" s="291" t="str">
        <f ca="1">IF(AZ12=$AR$11,$AQ$11,IF(AZ12=$AR$12,$AQ$12,VLOOKUP(AZ12,Voorblad!$X$67:$Z$98,2,FALSE)))</f>
        <v>Denemarken</v>
      </c>
      <c r="AZ12" s="292" t="str">
        <f t="shared" ref="AZ12:AZ23" ca="1" si="3">RIGHT(LEFT($AL$92,$BA12),2)</f>
        <v>C2</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Georgië</v>
      </c>
      <c r="AT13" s="292" t="str">
        <f t="shared" ca="1" si="0"/>
        <v>F2</v>
      </c>
      <c r="AU13" s="291" t="str">
        <f ca="1">IF(AV13=$AR$11,$AQ$11,IF(AV13=$AR$12,$AQ$12,VLOOKUP(AV13,Voorblad!$X$67:$Z$98,2,FALSE)))</f>
        <v>Frankrijk</v>
      </c>
      <c r="AV13" s="292" t="str">
        <f t="shared" ca="1" si="1"/>
        <v>D4</v>
      </c>
      <c r="AW13" s="291" t="str">
        <f ca="1">IF(AX13=$AR$11,$AQ$11,IF(AX13=$AR$12,$AQ$12,VLOOKUP(AX13,Voorblad!$X$67:$Z$98,2,FALSE)))</f>
        <v>Duitsland</v>
      </c>
      <c r="AX13" s="292" t="str">
        <f t="shared" ca="1" si="2"/>
        <v>A1</v>
      </c>
      <c r="AY13" s="291" t="str">
        <f ca="1">IF(AZ13=$AR$11,$AQ$11,IF(AZ13=$AR$12,$AQ$12,VLOOKUP(AZ13,Voorblad!$X$67:$Z$98,2,FALSE)))</f>
        <v>Duitsland</v>
      </c>
      <c r="AZ13" s="292" t="str">
        <f t="shared" ca="1" si="3"/>
        <v>A1</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c r="M14" s="12"/>
      <c r="N14" s="666" t="str">
        <f>IF(AK14="LEEG","▼   ","")&amp;"-  "</f>
        <v xml:space="preserve">▼   -  </v>
      </c>
      <c r="O14" s="1192" t="str">
        <f ca="1">" "&amp;Taal04!$B$75&amp;" B"</f>
        <v xml:space="preserve"> Nr.2 Groep B</v>
      </c>
      <c r="P14" s="1192"/>
      <c r="Q14" s="1192"/>
      <c r="R14" s="1192"/>
      <c r="S14" s="1192"/>
      <c r="T14" s="1192"/>
      <c r="U14" s="667"/>
      <c r="V14" s="666" t="str">
        <f>IF(AL14="LEEG","▼   ","")&amp;": "</f>
        <v xml:space="preserve">▼   : </v>
      </c>
      <c r="W14" s="738"/>
      <c r="X14" s="940" t="s">
        <v>12</v>
      </c>
      <c r="Y14" s="738"/>
      <c r="Z14" s="60"/>
      <c r="AA14" s="17"/>
      <c r="AB14" s="851">
        <f>IF(AND(AM14="GOED",AN14="GOED"),W14+Y14,0)</f>
        <v>0</v>
      </c>
      <c r="AC14" s="271" t="str">
        <f>IF(OR(L14="",ISBLANK(L14)),"OO",IF(TYPE(VLOOKUP(L14,Taal02!$C$100:$D$419,2,FALSE))=16,"XX",VLOOKUP(L14,Taal02!$C$100:$D$419,2,FALSE)))</f>
        <v>OO</v>
      </c>
      <c r="AD14" s="235" t="str">
        <f>IF(AC14="OO","LEEG",IF(AC14="XX","FOUT",VLOOKUP(AC14,Voorblad!$X$65:$Z$98,3,FALSE)))</f>
        <v>LEEG</v>
      </c>
      <c r="AE14" s="271" t="str">
        <f>IF(OR(U14="",ISBLANK(U14)),"OO",IF(TYPE(VLOOKUP(U14,Taal02!$C$100:$D$419,2,FALSE))=16,"XX",VLOOKUP(U14,Taal02!$C$100:$D$419,2,FALSE)))</f>
        <v>OO</v>
      </c>
      <c r="AF14" s="235" t="str">
        <f>IF(AE14="OO","LEEG",IF(AE14="XX","FOUT",VLOOKUP(AE14,Voorblad!$X$65:$Z$98,3,FALSE)))</f>
        <v>LEEG</v>
      </c>
      <c r="AG14" s="5"/>
      <c r="AH14" s="10" t="s">
        <v>110</v>
      </c>
      <c r="AI14" s="10" t="s">
        <v>12</v>
      </c>
      <c r="AJ14" s="10" t="s">
        <v>114</v>
      </c>
      <c r="AK14" s="4" t="str">
        <f>IF(AD14="LEEG","LEEG",IF(TYPE(AD14)=2,IF(LEN(AD14)=2,IF(AND($AI$11=0,AH15="DUBBEL"),"ONGELDIG","GOED"),"ONGELDIG"),"ONGELDIG"))</f>
        <v>LEEG</v>
      </c>
      <c r="AL14" s="4" t="str">
        <f>IF(AF14="LEEG","LEEG",IF(TYPE(AF14)=2,IF(LEN(AF14)=2,IF(AND($AI$11=0,AJ15="DUBBEL"),"ONGELDIG","GOED"),"ONGELDIG"),"ONGELDIG"))</f>
        <v>LEEG</v>
      </c>
      <c r="AM14" s="4" t="str">
        <f>IF(ISBLANK(W14),"LEEG",IF(TYPE(W14)=1,IF(AND(W14&lt;10,W14&gt;=0),IF(W14=ROUND(W14,0),"GOED","ONGELDIG"),"ONGELDIG"),"ONGELDIG"))</f>
        <v>LEEG</v>
      </c>
      <c r="AN14" s="4" t="str">
        <f>IF(ISBLANK(Y14),"LEEG",IF(TYPE(Y14)=1,IF(AND(Y14&lt;10,Y14&gt;=0),IF(Y14=ROUND(Y14,0),"GOED","ONGELDIG"),"ONGELDIG"),"ONGELDIG"))</f>
        <v>LEEG</v>
      </c>
      <c r="AO14" s="138" t="str">
        <f>IF(AK14="GOED",IF(AL14="GOED",IF(AM14="GOED",IF(AN14="GOED",AD14&amp;AF14&amp;W14&amp;Y14&amp;"|","FOUT"),"FOUT"),"FOUT"),"FOUT")</f>
        <v>FOUT</v>
      </c>
      <c r="AP14" s="91">
        <f>LEN(AO14)</f>
        <v>4</v>
      </c>
      <c r="AQ14" s="291" t="str">
        <f ca="1">VLOOKUP(AR14,Voorblad!$X$67:$Z$98,2,FALSE)</f>
        <v>Duitsland</v>
      </c>
      <c r="AR14" s="292" t="s">
        <v>109</v>
      </c>
      <c r="AS14" s="291" t="str">
        <f ca="1">IF(AT14=$AR$11,$AQ$11,IF(AT14=$AR$12,$AQ$12,VLOOKUP(AT14,Voorblad!$X$67:$Z$98,2,FALSE)))</f>
        <v>Nederland</v>
      </c>
      <c r="AT14" s="292" t="str">
        <f t="shared" ca="1" si="0"/>
        <v>D2</v>
      </c>
      <c r="AU14" s="291" t="str">
        <f ca="1">IF(AV14=$AR$11,$AQ$11,IF(AV14=$AR$12,$AQ$12,VLOOKUP(AV14,Voorblad!$X$67:$Z$98,2,FALSE)))</f>
        <v>Georgië</v>
      </c>
      <c r="AV14" s="292" t="str">
        <f t="shared" ca="1" si="1"/>
        <v>F2</v>
      </c>
      <c r="AW14" s="291" t="str">
        <f ca="1">IF(AX14=$AR$11,$AQ$11,IF(AX14=$AR$12,$AQ$12,VLOOKUP(AX14,Voorblad!$X$67:$Z$98,2,FALSE)))</f>
        <v>Engeland</v>
      </c>
      <c r="AX14" s="292" t="str">
        <f t="shared" ca="1" si="2"/>
        <v>C4</v>
      </c>
      <c r="AY14" s="291" t="str">
        <f ca="1">IF(AZ14=$AR$11,$AQ$11,IF(AZ14=$AR$12,$AQ$12,VLOOKUP(AZ14,Voorblad!$X$67:$Z$98,2,FALSE)))</f>
        <v>Engeland</v>
      </c>
      <c r="AZ14" s="292" t="str">
        <f t="shared" ca="1" si="3"/>
        <v>C4</v>
      </c>
      <c r="BA14" s="672">
        <f t="shared" si="4"/>
        <v>8</v>
      </c>
    </row>
    <row r="15" spans="1:59" ht="18.95" customHeight="1" x14ac:dyDescent="0.25">
      <c r="A15" s="173"/>
      <c r="B15" s="17"/>
      <c r="C15" s="949"/>
      <c r="D15" s="17"/>
      <c r="E15" s="17"/>
      <c r="F15" s="17"/>
      <c r="G15" s="1210" t="str">
        <f ca="1">IF($AB$9=1," "&amp;AC15,IF($AB$9=2,IF(AC14="OO"," "&amp;AC15,""),""))</f>
        <v xml:space="preserve"> </v>
      </c>
      <c r="H15" s="1210"/>
      <c r="I15" s="1210"/>
      <c r="J15" s="1210"/>
      <c r="K15" s="1210"/>
      <c r="L15" s="1210"/>
      <c r="M15" s="17"/>
      <c r="N15" s="17"/>
      <c r="O15" s="1210" t="str">
        <f ca="1">IF($AB$9=1," "&amp;AE15,IF($AB$9=2,IF(AE14="OO"," "&amp;AE15,""),""))</f>
        <v xml:space="preserve"> </v>
      </c>
      <c r="P15" s="1210"/>
      <c r="Q15" s="1210"/>
      <c r="R15" s="1210"/>
      <c r="S15" s="1210"/>
      <c r="T15" s="1210"/>
      <c r="U15" s="1210"/>
      <c r="V15" s="17"/>
      <c r="W15" s="17"/>
      <c r="X15" s="262"/>
      <c r="Y15" s="17"/>
      <c r="Z15" s="60"/>
      <c r="AA15" s="17"/>
      <c r="AB15" s="850"/>
      <c r="AC15" s="1193" t="str">
        <f ca="1">AM86</f>
        <v/>
      </c>
      <c r="AD15" s="1193"/>
      <c r="AE15" s="1193" t="str">
        <f ca="1">AO86</f>
        <v/>
      </c>
      <c r="AF15" s="1193"/>
      <c r="AG15" s="716" t="str">
        <f>IF(AO14="FOUT","",IF(W14&gt;Y14,AC14,IF(W14&lt;Y14,AE14,AC14&amp;AE14)))</f>
        <v/>
      </c>
      <c r="AH15" s="415" t="str">
        <f>IF(AD14="LEEG","LEEG",IF(AD14= "FOUT","ONGELDIG",IF(LEN(SUBSTITUTE(SUBSTITUTE("|"&amp;$AD$14&amp;"|"&amp;$AF$14&amp;"|"&amp;$AD$16&amp;"|"&amp;$AF$16&amp;"|"&amp;$AD$18&amp;"|"&amp;$AF$18&amp;"|"&amp;$AD$20&amp;"|"&amp;$AF$20&amp;"|"&amp;$AD$22&amp;"|"&amp;$AF$22&amp;"|"&amp;$AD$24&amp;"|"&amp;$AF$24&amp;"|"&amp;$AD$26&amp;"|"&amp;$AF$26&amp;"|"&amp;$AD$28&amp;"|"&amp;$AF$28&amp;"|","LEEG","##"),AD14,"CONTROLE"))=$AJ$30,"GOED","DUBBEL")))</f>
        <v>LEEG</v>
      </c>
      <c r="AI15" s="5"/>
      <c r="AJ15" s="415" t="str">
        <f>IF(AF14="LEEG","LEEG",IF(AF14= "FOUT","ONGELDIG",IF(LEN(SUBSTITUTE(SUBSTITUTE("|"&amp;$AD$14&amp;"|"&amp;$AF$14&amp;"|"&amp;$AD$16&amp;"|"&amp;$AF$16&amp;"|"&amp;$AD$18&amp;"|"&amp;$AF$18&amp;"|"&amp;$AD$20&amp;"|"&amp;$AF$20&amp;"|"&amp;$AD$22&amp;"|"&amp;$AF$22&amp;"|"&amp;$AD$24&amp;"|"&amp;$AF$24&amp;"|"&amp;$AD$26&amp;"|"&amp;$AF$26&amp;"|"&amp;$AD$28&amp;"|"&amp;$AF$28&amp;"|","LEEG","##"),AF14,"CONTROLE"))=$AJ$30,"GOED","DUBBEL")))</f>
        <v>LEEG</v>
      </c>
      <c r="AK15" s="4"/>
      <c r="AL15" s="4"/>
      <c r="AM15" s="4"/>
      <c r="AN15" s="4"/>
      <c r="AO15" s="138"/>
      <c r="AP15" s="91"/>
      <c r="AQ15" s="291" t="str">
        <f ca="1">VLOOKUP(AR15,Voorblad!$X$67:$Z$98,2,FALSE)</f>
        <v>Schotland</v>
      </c>
      <c r="AR15" s="292" t="str">
        <f>AR13&amp;2</f>
        <v>A2</v>
      </c>
      <c r="AS15" s="291" t="str">
        <f ca="1">IF(AT15=$AR$11,$AQ$11,IF(AT15=$AR$12,$AQ$12,VLOOKUP(AT15,Voorblad!$X$67:$Z$98,2,FALSE)))</f>
        <v>Oekraïne</v>
      </c>
      <c r="AT15" s="292" t="str">
        <f t="shared" ca="1" si="0"/>
        <v>E4</v>
      </c>
      <c r="AU15" s="291" t="str">
        <f ca="1">IF(AV15=$AR$11,$AQ$11,IF(AV15=$AR$12,$AQ$12,VLOOKUP(AV15,Voorblad!$X$67:$Z$98,2,FALSE)))</f>
        <v>Hongarije</v>
      </c>
      <c r="AV15" s="292" t="str">
        <f t="shared" ca="1" si="1"/>
        <v>A3</v>
      </c>
      <c r="AW15" s="291" t="str">
        <f ca="1">IF(AX15=$AR$11,$AQ$11,IF(AX15=$AR$12,$AQ$12,VLOOKUP(AX15,Voorblad!$X$67:$Z$98,2,FALSE)))</f>
        <v>Hongarije</v>
      </c>
      <c r="AX15" s="292" t="str">
        <f t="shared" ca="1" si="2"/>
        <v>A3</v>
      </c>
      <c r="AY15" s="291" t="str">
        <f ca="1">IF(AZ15=$AR$11,$AQ$11,IF(AZ15=$AR$12,$AQ$12,VLOOKUP(AZ15,Voorblad!$X$67:$Z$98,2,FALSE)))</f>
        <v>Frankrijk</v>
      </c>
      <c r="AZ15" s="292" t="str">
        <f t="shared" ca="1" si="3"/>
        <v>D4</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c r="M16" s="665"/>
      <c r="N16" s="666" t="str">
        <f>IF(AK16="LEEG","▼   ","")&amp;"-  "</f>
        <v xml:space="preserve">▼   -  </v>
      </c>
      <c r="O16" s="1192" t="str">
        <f ca="1">" "&amp;Taal04!$B$75&amp;" C"</f>
        <v xml:space="preserve"> Nr.2 Groep C</v>
      </c>
      <c r="P16" s="1192"/>
      <c r="Q16" s="1192"/>
      <c r="R16" s="1192"/>
      <c r="S16" s="1192"/>
      <c r="T16" s="1192"/>
      <c r="U16" s="668"/>
      <c r="V16" s="666" t="str">
        <f>IF(AL16="LEEG","▼   ","")&amp;": "</f>
        <v xml:space="preserve">▼   : </v>
      </c>
      <c r="W16" s="738"/>
      <c r="X16" s="940" t="s">
        <v>12</v>
      </c>
      <c r="Y16" s="738"/>
      <c r="Z16" s="60"/>
      <c r="AA16" s="17"/>
      <c r="AB16" s="851">
        <f>IF(AND(AM16="GOED",AN16="GOED"),W16+Y16,0)</f>
        <v>0</v>
      </c>
      <c r="AC16" s="271" t="str">
        <f>IF(OR(L16="",ISBLANK(L16)),"OO",IF(TYPE(VLOOKUP(L16,Taal02!$C$100:$D$419,2,FALSE))=16,"XX",VLOOKUP(L16,Taal02!$C$100:$D$419,2,FALSE)))</f>
        <v>OO</v>
      </c>
      <c r="AD16" s="235" t="str">
        <f>IF(AC16="OO","LEEG",IF(AC16="XX","FOUT",VLOOKUP(AC16,Voorblad!$X$65:$Z$98,3,FALSE)))</f>
        <v>LEEG</v>
      </c>
      <c r="AE16" s="271" t="str">
        <f>IF(OR(U16="",ISBLANK(U16)),"OO",IF(TYPE(VLOOKUP(U16,Taal02!$C$100:$D$419,2,FALSE))=16,"XX",VLOOKUP(U16,Taal02!$C$100:$D$419,2,FALSE)))</f>
        <v>OO</v>
      </c>
      <c r="AF16" s="235" t="str">
        <f>IF(AE16="OO","LEEG",IF(AE16="XX","FOUT",VLOOKUP(AE16,Voorblad!$X$65:$Z$98,3,FALSE)))</f>
        <v>LEEG</v>
      </c>
      <c r="AG16" s="5"/>
      <c r="AH16" s="10" t="s">
        <v>109</v>
      </c>
      <c r="AI16" s="10" t="s">
        <v>12</v>
      </c>
      <c r="AJ16" s="10" t="s">
        <v>118</v>
      </c>
      <c r="AK16" s="4" t="str">
        <f>IF(AD16="LEEG","LEEG",IF(TYPE(AD16)=2,IF(LEN(AD16)=2,IF(AND($AI$11=0,AH17="DUBBEL"),"ONGELDIG","GOED"),"ONGELDIG"),"ONGELDIG"))</f>
        <v>LEEG</v>
      </c>
      <c r="AL16" s="4" t="str">
        <f>IF(AF16="LEEG","LEEG",IF(TYPE(AF16)=2,IF(LEN(AF16)=2,IF(AND($AI$11=0,AJ17="DUBBEL"),"ONGELDIG","GOED"),"ONGELDIG"),"ONGELDIG"))</f>
        <v>LEEG</v>
      </c>
      <c r="AM16" s="4" t="str">
        <f>IF(ISBLANK(W16),"LEEG",IF(TYPE(W16)=1,IF(AND(W16&lt;10,W16&gt;=0),IF(W16=ROUND(W16,0),"GOED","ONGELDIG"),"ONGELDIG"),"ONGELDIG"))</f>
        <v>LEEG</v>
      </c>
      <c r="AN16" s="4" t="str">
        <f>IF(ISBLANK(Y16),"LEEG",IF(TYPE(Y16)=1,IF(AND(Y16&lt;10,Y16&gt;=0),IF(Y16=ROUND(Y16,0),"GOED","ONGELDIG"),"ONGELDIG"),"ONGELDIG"))</f>
        <v>LEEG</v>
      </c>
      <c r="AO16" s="138" t="str">
        <f>IF(AK16="GOED",IF(AL16="GOED",IF(AM16="GOED",IF(AN16="GOED",AD16&amp;AF16&amp;W16&amp;Y16&amp;"|","FOUT"),"FOUT"),"FOUT"),"FOUT")</f>
        <v>FOUT</v>
      </c>
      <c r="AP16" s="91">
        <f>LEN(AO16)</f>
        <v>4</v>
      </c>
      <c r="AQ16" s="291" t="str">
        <f ca="1">VLOOKUP(AR16,Voorblad!$X$67:$Z$98,2,FALSE)</f>
        <v>Hongarije</v>
      </c>
      <c r="AR16" s="292" t="str">
        <f>AR13&amp;3</f>
        <v>A3</v>
      </c>
      <c r="AS16" s="291" t="str">
        <f ca="1">IF(AT16=$AR$11,$AQ$11,IF(AT16=$AR$12,$AQ$12,VLOOKUP(AT16,Voorblad!$X$67:$Z$98,2,FALSE)))</f>
        <v>Oostenrijk</v>
      </c>
      <c r="AT16" s="292" t="str">
        <f t="shared" ca="1" si="0"/>
        <v>D3</v>
      </c>
      <c r="AU16" s="291" t="str">
        <f ca="1">IF(AV16=$AR$11,$AQ$11,IF(AV16=$AR$12,$AQ$12,VLOOKUP(AV16,Voorblad!$X$67:$Z$98,2,FALSE)))</f>
        <v>Nederland</v>
      </c>
      <c r="AV16" s="292" t="str">
        <f t="shared" ca="1" si="1"/>
        <v>D2</v>
      </c>
      <c r="AW16" s="291" t="str">
        <f ca="1">IF(AX16=$AR$11,$AQ$11,IF(AX16=$AR$12,$AQ$12,VLOOKUP(AX16,Voorblad!$X$67:$Z$98,2,FALSE)))</f>
        <v>Italië</v>
      </c>
      <c r="AX16" s="292" t="str">
        <f t="shared" ca="1" si="2"/>
        <v>B3</v>
      </c>
      <c r="AY16" s="291" t="str">
        <f ca="1">IF(AZ16=$AR$11,$AQ$11,IF(AZ16=$AR$12,$AQ$12,VLOOKUP(AZ16,Voorblad!$X$67:$Z$98,2,FALSE)))</f>
        <v>Hongarije</v>
      </c>
      <c r="AZ16" s="292" t="str">
        <f t="shared" ca="1" si="3"/>
        <v>A3</v>
      </c>
      <c r="BA16" s="672">
        <f t="shared" si="4"/>
        <v>12</v>
      </c>
    </row>
    <row r="17" spans="1:53" ht="18.95" customHeight="1" x14ac:dyDescent="0.25">
      <c r="A17" s="173"/>
      <c r="B17" s="17"/>
      <c r="C17" s="949"/>
      <c r="D17" s="17"/>
      <c r="E17" s="17"/>
      <c r="F17" s="17"/>
      <c r="G17" s="1210" t="str">
        <f ca="1">IF($AB$9=1," "&amp;AC17,IF($AB$9=2,IF(AC16="OO"," "&amp;AC17,""),""))</f>
        <v xml:space="preserve"> </v>
      </c>
      <c r="H17" s="1210"/>
      <c r="I17" s="1210"/>
      <c r="J17" s="1210"/>
      <c r="K17" s="1210"/>
      <c r="L17" s="1210"/>
      <c r="M17" s="17"/>
      <c r="N17" s="17"/>
      <c r="O17" s="1210" t="str">
        <f ca="1">IF($AB$9=1," "&amp;AE17,IF($AB$9=2,IF(AE16="OO"," "&amp;AE17,""),""))</f>
        <v xml:space="preserve"> </v>
      </c>
      <c r="P17" s="1210"/>
      <c r="Q17" s="1210"/>
      <c r="R17" s="1210"/>
      <c r="S17" s="1210"/>
      <c r="T17" s="1210"/>
      <c r="U17" s="1210"/>
      <c r="V17" s="17"/>
      <c r="W17" s="17"/>
      <c r="X17" s="262"/>
      <c r="Y17" s="17"/>
      <c r="Z17" s="60"/>
      <c r="AA17" s="17"/>
      <c r="AB17" s="850"/>
      <c r="AC17" s="1193" t="str">
        <f ca="1">AM87</f>
        <v/>
      </c>
      <c r="AD17" s="1193"/>
      <c r="AE17" s="1193" t="str">
        <f ca="1">AO87</f>
        <v/>
      </c>
      <c r="AF17" s="1193"/>
      <c r="AG17" s="716" t="str">
        <f>IF(AO16="FOUT","",IF(W16&gt;Y16,AC16,IF(W16&lt;Y16,AE16,AC16&amp;AE16)))</f>
        <v/>
      </c>
      <c r="AH17" s="415" t="str">
        <f>IF(AD16="LEEG","LEEG",IF(AD16= "FOUT","ONGELDIG",IF(LEN(SUBSTITUTE(SUBSTITUTE("|"&amp;$AD$14&amp;"|"&amp;$AF$14&amp;"|"&amp;$AD$16&amp;"|"&amp;$AF$16&amp;"|"&amp;$AD$18&amp;"|"&amp;$AF$18&amp;"|"&amp;$AD$20&amp;"|"&amp;$AF$20&amp;"|"&amp;$AD$22&amp;"|"&amp;$AF$22&amp;"|"&amp;$AD$24&amp;"|"&amp;$AF$24&amp;"|"&amp;$AD$26&amp;"|"&amp;$AF$26&amp;"|"&amp;$AD$28&amp;"|"&amp;$AF$28&amp;"|","LEEG","##"),AD16,"CONTROLE"))=$AJ$30,"GOED","DUBBEL")))</f>
        <v>LEEG</v>
      </c>
      <c r="AI17" s="5"/>
      <c r="AJ17" s="415" t="str">
        <f>IF(AF16="LEEG","LEEG",IF(AF16= "FOUT","ONGELDIG",IF(LEN(SUBSTITUTE(SUBSTITUTE("|"&amp;$AD$14&amp;"|"&amp;$AF$14&amp;"|"&amp;$AD$16&amp;"|"&amp;$AF$16&amp;"|"&amp;$AD$18&amp;"|"&amp;$AF$18&amp;"|"&amp;$AD$20&amp;"|"&amp;$AF$20&amp;"|"&amp;$AD$22&amp;"|"&amp;$AF$22&amp;"|"&amp;$AD$24&amp;"|"&amp;$AF$24&amp;"|"&amp;$AD$26&amp;"|"&amp;$AF$26&amp;"|"&amp;$AD$28&amp;"|"&amp;$AF$28&amp;"|","LEEG","##"),AF16,"CONTROLE"))=$AJ$30,"GOED","DUBBEL")))</f>
        <v>LEEG</v>
      </c>
      <c r="AK17" s="4"/>
      <c r="AL17" s="4"/>
      <c r="AM17" s="4"/>
      <c r="AN17" s="4"/>
      <c r="AO17" s="138"/>
      <c r="AP17" s="91"/>
      <c r="AQ17" s="293" t="str">
        <f ca="1">VLOOKUP(AR17,Voorblad!$X$67:$Z$98,2,FALSE)</f>
        <v>Zwitserland</v>
      </c>
      <c r="AR17" s="295" t="s">
        <v>112</v>
      </c>
      <c r="AS17" s="291" t="str">
        <f ca="1">IF(AT17=$AR$11,$AQ$11,IF(AT17=$AR$12,$AQ$12,VLOOKUP(AT17,Voorblad!$X$67:$Z$98,2,FALSE)))</f>
        <v>Polen</v>
      </c>
      <c r="AT17" s="292" t="str">
        <f t="shared" ca="1" si="0"/>
        <v>D1</v>
      </c>
      <c r="AU17" s="291" t="str">
        <f ca="1">IF(AV17=$AR$11,$AQ$11,IF(AV17=$AR$12,$AQ$12,VLOOKUP(AV17,Voorblad!$X$67:$Z$98,2,FALSE)))</f>
        <v>Oekraïne</v>
      </c>
      <c r="AV17" s="292" t="str">
        <f t="shared" ca="1" si="1"/>
        <v>E4</v>
      </c>
      <c r="AW17" s="291" t="str">
        <f ca="1">IF(AX17=$AR$11,$AQ$11,IF(AX17=$AR$12,$AQ$12,VLOOKUP(AX17,Voorblad!$X$67:$Z$98,2,FALSE)))</f>
        <v>Kroatië</v>
      </c>
      <c r="AX17" s="292" t="str">
        <f t="shared" ca="1" si="2"/>
        <v>B2</v>
      </c>
      <c r="AY17" s="291" t="str">
        <f ca="1">IF(AZ17=$AR$11,$AQ$11,IF(AZ17=$AR$12,$AQ$12,VLOOKUP(AZ17,Voorblad!$X$67:$Z$98,2,FALSE)))</f>
        <v>Italië</v>
      </c>
      <c r="AZ17" s="292" t="str">
        <f t="shared" ca="1" si="3"/>
        <v>B3</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c r="M18" s="665"/>
      <c r="N18" s="666" t="str">
        <f>IF(AK18="LEEG","▼   ","")&amp;"-  "</f>
        <v xml:space="preserve">▼   -  </v>
      </c>
      <c r="O18" s="1192" t="str">
        <f ca="1">" "&amp;Taal04!$B$76&amp;" D/E/F"</f>
        <v xml:space="preserve"> Nr.3 Groep D/E/F</v>
      </c>
      <c r="P18" s="1192"/>
      <c r="Q18" s="1192"/>
      <c r="R18" s="1192"/>
      <c r="S18" s="1192"/>
      <c r="T18" s="1192"/>
      <c r="U18" s="668"/>
      <c r="V18" s="666" t="str">
        <f>IF(AL18="LEEG","▼   ","")&amp;": "</f>
        <v xml:space="preserve">▼   : </v>
      </c>
      <c r="W18" s="738"/>
      <c r="X18" s="940" t="s">
        <v>12</v>
      </c>
      <c r="Y18" s="738"/>
      <c r="Z18" s="60"/>
      <c r="AA18" s="17"/>
      <c r="AB18" s="851">
        <f>IF(AND(AM18="GOED",AN18="GOED"),W18+Y18,0)</f>
        <v>0</v>
      </c>
      <c r="AC18" s="271" t="str">
        <f>IF(OR(L18="",ISBLANK(L18)),"OO",IF(TYPE(VLOOKUP(L18,Taal02!$C$100:$D$419,2,FALSE))=16,"XX",VLOOKUP(L18,Taal02!$C$100:$D$419,2,FALSE)))</f>
        <v>OO</v>
      </c>
      <c r="AD18" s="235" t="str">
        <f>IF(AC18="OO","LEEG",IF(AC18="XX","FOUT",VLOOKUP(AC18,Voorblad!$X$65:$Z$98,3,FALSE)))</f>
        <v>LEEG</v>
      </c>
      <c r="AE18" s="271" t="str">
        <f>IF(OR(U18="",ISBLANK(U18)),"OO",IF(TYPE(VLOOKUP(U18,Taal02!$C$100:$D$419,2,FALSE))=16,"XX",VLOOKUP(U18,Taal02!$C$100:$D$419,2,FALSE)))</f>
        <v>OO</v>
      </c>
      <c r="AF18" s="235" t="str">
        <f>IF(AE18="OO","LEEG",IF(AE18="XX","FOUT",VLOOKUP(AE18,Voorblad!$X$65:$Z$98,3,FALSE)))</f>
        <v>LEEG</v>
      </c>
      <c r="AG18" s="5"/>
      <c r="AH18" s="10" t="s">
        <v>117</v>
      </c>
      <c r="AI18" s="10" t="s">
        <v>12</v>
      </c>
      <c r="AJ18" s="10" t="s">
        <v>2493</v>
      </c>
      <c r="AK18" s="4" t="str">
        <f>IF(AD18="LEEG","LEEG",IF(TYPE(AD18)=2,IF(LEN(AD18)=2,IF(AND($AI$11=0,AH19="DUBBEL"),"ONGELDIG","GOED"),"ONGELDIG"),"ONGELDIG"))</f>
        <v>LEEG</v>
      </c>
      <c r="AL18" s="4" t="str">
        <f>IF(AF18="LEEG","LEEG",IF(TYPE(AF18)=2,IF(LEN(AF18)=2,IF(AND($AI$11=0,AJ19="DUBBEL"),"ONGELDIG","GOED"),"ONGELDIG"),"ONGELDIG"))</f>
        <v>LEEG</v>
      </c>
      <c r="AM18" s="4" t="str">
        <f>IF(ISBLANK(W18),"LEEG",IF(TYPE(W18)=1,IF(AND(W18&lt;10,W18&gt;=0),IF(W18=ROUND(W18,0),"GOED","ONGELDIG"),"ONGELDIG"),"ONGELDIG"))</f>
        <v>LEEG</v>
      </c>
      <c r="AN18" s="4" t="str">
        <f>IF(ISBLANK(Y18),"LEEG",IF(TYPE(Y18)=1,IF(AND(Y18&lt;10,Y18&gt;=0),IF(Y18=ROUND(Y18,0),"GOED","ONGELDIG"),"ONGELDIG"),"ONGELDIG"))</f>
        <v>LEEG</v>
      </c>
      <c r="AO18" s="138" t="str">
        <f>IF(AK18="GOED",IF(AL18="GOED",IF(AM18="GOED",IF(AN18="GOED",AD18&amp;AF18&amp;W18&amp;Y18&amp;"|","FOUT"),"FOUT"),"FOUT"),"FOUT")</f>
        <v>FOUT</v>
      </c>
      <c r="AP18" s="91">
        <f>LEN(AO18)</f>
        <v>4</v>
      </c>
      <c r="AQ18" s="287"/>
      <c r="AR18" s="289" t="s">
        <v>3</v>
      </c>
      <c r="AS18" s="291" t="str">
        <f ca="1">IF(AT18=$AR$11,$AQ$11,IF(AT18=$AR$12,$AQ$12,VLOOKUP(AT18,Voorblad!$X$67:$Z$98,2,FALSE)))</f>
        <v>Portugal</v>
      </c>
      <c r="AT18" s="292" t="str">
        <f t="shared" ca="1" si="0"/>
        <v>F3</v>
      </c>
      <c r="AU18" s="291" t="str">
        <f ca="1">IF(AV18=$AR$11,$AQ$11,IF(AV18=$AR$12,$AQ$12,VLOOKUP(AV18,Voorblad!$X$67:$Z$98,2,FALSE)))</f>
        <v>Oostenrijk</v>
      </c>
      <c r="AV18" s="292" t="str">
        <f t="shared" ca="1" si="1"/>
        <v>D3</v>
      </c>
      <c r="AW18" s="291" t="str">
        <f ca="1">IF(AX18=$AR$11,$AQ$11,IF(AX18=$AR$12,$AQ$12,VLOOKUP(AX18,Voorblad!$X$67:$Z$98,2,FALSE)))</f>
        <v>Schotland</v>
      </c>
      <c r="AX18" s="292" t="str">
        <f t="shared" ca="1" si="2"/>
        <v>A2</v>
      </c>
      <c r="AY18" s="291" t="str">
        <f ca="1">IF(AZ18=$AR$11,$AQ$11,IF(AZ18=$AR$12,$AQ$12,VLOOKUP(AZ18,Voorblad!$X$67:$Z$98,2,FALSE)))</f>
        <v>Kroatië</v>
      </c>
      <c r="AZ18" s="292" t="str">
        <f t="shared" ca="1" si="3"/>
        <v>B2</v>
      </c>
      <c r="BA18" s="672">
        <f t="shared" si="4"/>
        <v>16</v>
      </c>
    </row>
    <row r="19" spans="1:53" ht="18.95" customHeight="1" x14ac:dyDescent="0.25">
      <c r="A19" s="173"/>
      <c r="B19" s="17"/>
      <c r="C19" s="949"/>
      <c r="D19" s="17"/>
      <c r="E19" s="17"/>
      <c r="F19" s="17"/>
      <c r="G19" s="1210" t="str">
        <f ca="1">IF($AB$9=1," "&amp;AC19,IF($AB$9=2,IF(AC18="OO"," "&amp;AC19,""),""))</f>
        <v xml:space="preserve"> </v>
      </c>
      <c r="H19" s="1210"/>
      <c r="I19" s="1210"/>
      <c r="J19" s="1210"/>
      <c r="K19" s="1210"/>
      <c r="L19" s="1210"/>
      <c r="M19" s="17"/>
      <c r="N19" s="17"/>
      <c r="O19" s="1210" t="str">
        <f ca="1">IF($AB$9=1," "&amp;AE19,IF($AB$9=2,IF(AE18="OO"," "&amp;AE19,""),""))</f>
        <v xml:space="preserve"> </v>
      </c>
      <c r="P19" s="1210"/>
      <c r="Q19" s="1210"/>
      <c r="R19" s="1210"/>
      <c r="S19" s="1210"/>
      <c r="T19" s="1210"/>
      <c r="U19" s="1210"/>
      <c r="V19" s="17"/>
      <c r="W19" s="17"/>
      <c r="X19" s="262"/>
      <c r="Y19" s="17"/>
      <c r="Z19" s="60"/>
      <c r="AA19" s="17"/>
      <c r="AB19" s="850"/>
      <c r="AC19" s="1193" t="str">
        <f ca="1">AM88</f>
        <v/>
      </c>
      <c r="AD19" s="1193"/>
      <c r="AE19" s="1193" t="str">
        <f ca="1">AO88</f>
        <v/>
      </c>
      <c r="AF19" s="1193"/>
      <c r="AG19" s="716" t="str">
        <f>IF(AO18="FOUT","",IF(W18&gt;Y18,AC18,IF(W18&lt;Y18,AE18,AC18&amp;AE18)))</f>
        <v/>
      </c>
      <c r="AH19" s="415" t="str">
        <f>IF(AD18="LEEG","LEEG",IF(AD18= "FOUT","ONGELDIG",IF(LEN(SUBSTITUTE(SUBSTITUTE("|"&amp;$AD$14&amp;"|"&amp;$AF$14&amp;"|"&amp;$AD$16&amp;"|"&amp;$AF$16&amp;"|"&amp;$AD$18&amp;"|"&amp;$AF$18&amp;"|"&amp;$AD$20&amp;"|"&amp;$AF$20&amp;"|"&amp;$AD$22&amp;"|"&amp;$AF$22&amp;"|"&amp;$AD$24&amp;"|"&amp;$AF$24&amp;"|"&amp;$AD$26&amp;"|"&amp;$AF$26&amp;"|"&amp;$AD$28&amp;"|"&amp;$AF$28&amp;"|","LEEG","##"),AD18,"CONTROLE"))=$AJ$30,"GOED","DUBBEL")))</f>
        <v>LEEG</v>
      </c>
      <c r="AI19" s="5"/>
      <c r="AJ19" s="415" t="str">
        <f>IF(AF18="LEEG","LEEG",IF(AF18= "FOUT","ONGELDIG",IF(LEN(SUBSTITUTE(SUBSTITUTE("|"&amp;$AD$14&amp;"|"&amp;$AF$14&amp;"|"&amp;$AD$16&amp;"|"&amp;$AF$16&amp;"|"&amp;$AD$18&amp;"|"&amp;$AF$18&amp;"|"&amp;$AD$20&amp;"|"&amp;$AF$20&amp;"|"&amp;$AD$22&amp;"|"&amp;$AF$22&amp;"|"&amp;$AD$24&amp;"|"&amp;$AF$24&amp;"|"&amp;$AD$26&amp;"|"&amp;$AF$26&amp;"|"&amp;$AD$28&amp;"|"&amp;$AF$28&amp;"|","LEEG","##"),AF18,"CONTROLE"))=$AJ$30,"GOED","DUBBEL")))</f>
        <v>LEEG</v>
      </c>
      <c r="AK19" s="4"/>
      <c r="AL19" s="4"/>
      <c r="AM19" s="4"/>
      <c r="AN19" s="4"/>
      <c r="AO19" s="138"/>
      <c r="AP19" s="91"/>
      <c r="AQ19" s="291" t="str">
        <f ca="1">VLOOKUP(AR19,Voorblad!$X$67:$Z$98,2,FALSE)</f>
        <v>Spanje</v>
      </c>
      <c r="AR19" s="292" t="str">
        <f>AR18&amp;1</f>
        <v>B1</v>
      </c>
      <c r="AS19" s="291" t="str">
        <f ca="1">IF(AT19=$AR$11,$AQ$11,IF(AT19=$AR$12,$AQ$12,VLOOKUP(AT19,Voorblad!$X$67:$Z$98,2,FALSE)))</f>
        <v>Roemenië</v>
      </c>
      <c r="AT19" s="292" t="str">
        <f t="shared" ca="1" si="0"/>
        <v>E3</v>
      </c>
      <c r="AU19" s="291" t="str">
        <f ca="1">IF(AV19=$AR$11,$AQ$11,IF(AV19=$AR$12,$AQ$12,VLOOKUP(AV19,Voorblad!$X$67:$Z$98,2,FALSE)))</f>
        <v>Polen</v>
      </c>
      <c r="AV19" s="292" t="str">
        <f t="shared" ca="1" si="1"/>
        <v>D1</v>
      </c>
      <c r="AW19" s="291" t="str">
        <f ca="1">IF(AX19=$AR$11,$AQ$11,IF(AX19=$AR$12,$AQ$12,VLOOKUP(AX19,Voorblad!$X$67:$Z$98,2,FALSE)))</f>
        <v>Servië</v>
      </c>
      <c r="AX19" s="292" t="str">
        <f t="shared" ca="1" si="2"/>
        <v>C3</v>
      </c>
      <c r="AY19" s="291" t="str">
        <f ca="1">IF(AZ19=$AR$11,$AQ$11,IF(AZ19=$AR$12,$AQ$12,VLOOKUP(AZ19,Voorblad!$X$67:$Z$98,2,FALSE)))</f>
        <v>Nederland</v>
      </c>
      <c r="AZ19" s="292" t="str">
        <f t="shared" ca="1" si="3"/>
        <v>D2</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c r="M20" s="665"/>
      <c r="N20" s="666" t="str">
        <f>IF(AK20="LEEG","▼   ","")&amp;"-  "</f>
        <v xml:space="preserve">▼   -  </v>
      </c>
      <c r="O20" s="1192" t="str">
        <f ca="1">" "&amp;Taal04!$B$76&amp;" A/D/E/F"</f>
        <v xml:space="preserve"> Nr.3 Groep A/D/E/F</v>
      </c>
      <c r="P20" s="1192"/>
      <c r="Q20" s="1192"/>
      <c r="R20" s="1192"/>
      <c r="S20" s="1192"/>
      <c r="T20" s="1192"/>
      <c r="U20" s="668"/>
      <c r="V20" s="666" t="str">
        <f>IF(AL20="LEEG","▼   ","")&amp;": "</f>
        <v xml:space="preserve">▼   : </v>
      </c>
      <c r="W20" s="738"/>
      <c r="X20" s="940" t="s">
        <v>12</v>
      </c>
      <c r="Y20" s="738"/>
      <c r="Z20" s="60"/>
      <c r="AA20" s="17"/>
      <c r="AB20" s="851">
        <f>IF(AND(AM20="GOED",AN20="GOED"),W20+Y20,0)</f>
        <v>0</v>
      </c>
      <c r="AC20" s="271" t="str">
        <f>IF(OR(L20="",ISBLANK(L20)),"OO",IF(TYPE(VLOOKUP(L20,Taal02!$C$100:$D$419,2,FALSE))=16,"XX",VLOOKUP(L20,Taal02!$C$100:$D$419,2,FALSE)))</f>
        <v>OO</v>
      </c>
      <c r="AD20" s="235" t="str">
        <f>IF(AC20="OO","LEEG",IF(AC20="XX","FOUT",VLOOKUP(AC20,Voorblad!$X$65:$Z$98,3,FALSE)))</f>
        <v>LEEG</v>
      </c>
      <c r="AE20" s="271" t="str">
        <f>IF(OR(U20="",ISBLANK(U20)),"OO",IF(TYPE(VLOOKUP(U20,Taal02!$C$100:$D$419,2,FALSE))=16,"XX",VLOOKUP(U20,Taal02!$C$100:$D$419,2,FALSE)))</f>
        <v>OO</v>
      </c>
      <c r="AF20" s="235" t="str">
        <f>IF(AE20="OO","LEEG",IF(AE20="XX","FOUT",VLOOKUP(AE20,Voorblad!$X$65:$Z$98,3,FALSE)))</f>
        <v>LEEG</v>
      </c>
      <c r="AG20" s="5"/>
      <c r="AH20" s="10" t="s">
        <v>113</v>
      </c>
      <c r="AI20" s="10" t="s">
        <v>12</v>
      </c>
      <c r="AJ20" s="10" t="s">
        <v>2494</v>
      </c>
      <c r="AK20" s="4" t="str">
        <f>IF(AD20="LEEG","LEEG",IF(TYPE(AD20)=2,IF(LEN(AD20)=2,IF(AND($AI$11=0,AH21="DUBBEL"),"ONGELDIG","GOED"),"ONGELDIG"),"ONGELDIG"))</f>
        <v>LEEG</v>
      </c>
      <c r="AL20" s="4" t="str">
        <f>IF(AF20="LEEG","LEEG",IF(TYPE(AF20)=2,IF(LEN(AF20)=2,IF(AND($AI$11=0,AJ21="DUBBEL"),"ONGELDIG","GOED"),"ONGELDIG"),"ONGELDIG"))</f>
        <v>LEEG</v>
      </c>
      <c r="AM20" s="4" t="str">
        <f>IF(ISBLANK(W20),"LEEG",IF(TYPE(W20)=1,IF(AND(W20&lt;10,W20&gt;=0),IF(W20=ROUND(W20,0),"GOED","ONGELDIG"),"ONGELDIG"),"ONGELDIG"))</f>
        <v>LEEG</v>
      </c>
      <c r="AN20" s="4" t="str">
        <f>IF(ISBLANK(Y20),"LEEG",IF(TYPE(Y20)=1,IF(AND(Y20&lt;10,Y20&gt;=0),IF(Y20=ROUND(Y20,0),"GOED","ONGELDIG"),"ONGELDIG"),"ONGELDIG"))</f>
        <v>LEEG</v>
      </c>
      <c r="AO20" s="138" t="str">
        <f>IF(AK20="GOED",IF(AL20="GOED",IF(AM20="GOED",IF(AN20="GOED",AD20&amp;AF20&amp;W20&amp;Y20&amp;"|","FOUT"),"FOUT"),"FOUT"),"FOUT")</f>
        <v>FOUT</v>
      </c>
      <c r="AP20" s="91">
        <f>LEN(AO20)</f>
        <v>4</v>
      </c>
      <c r="AQ20" s="291" t="str">
        <f ca="1">VLOOKUP(AR20,Voorblad!$X$67:$Z$98,2,FALSE)</f>
        <v>Kroatië</v>
      </c>
      <c r="AR20" s="292" t="str">
        <f>AR18&amp;2</f>
        <v>B2</v>
      </c>
      <c r="AS20" s="291" t="str">
        <f ca="1">IF(AT20=$AR$11,$AQ$11,IF(AT20=$AR$12,$AQ$12,VLOOKUP(AT20,Voorblad!$X$67:$Z$98,2,FALSE)))</f>
        <v>Slowakije</v>
      </c>
      <c r="AT20" s="292" t="str">
        <f t="shared" ca="1" si="0"/>
        <v>E2</v>
      </c>
      <c r="AU20" s="291" t="str">
        <f ca="1">IF(AV20=$AR$11,$AQ$11,IF(AV20=$AR$12,$AQ$12,VLOOKUP(AV20,Voorblad!$X$67:$Z$98,2,FALSE)))</f>
        <v>Portugal</v>
      </c>
      <c r="AV20" s="292" t="str">
        <f t="shared" ca="1" si="1"/>
        <v>F3</v>
      </c>
      <c r="AW20" s="291" t="str">
        <f ca="1">IF(AX20=$AR$11,$AQ$11,IF(AX20=$AR$12,$AQ$12,VLOOKUP(AX20,Voorblad!$X$67:$Z$98,2,FALSE)))</f>
        <v>Slovenië</v>
      </c>
      <c r="AX20" s="292" t="str">
        <f t="shared" ca="1" si="2"/>
        <v>C1</v>
      </c>
      <c r="AY20" s="291" t="str">
        <f ca="1">IF(AZ20=$AR$11,$AQ$11,IF(AZ20=$AR$12,$AQ$12,VLOOKUP(AZ20,Voorblad!$X$67:$Z$98,2,FALSE)))</f>
        <v>Oostenrijk</v>
      </c>
      <c r="AZ20" s="292" t="str">
        <f t="shared" ca="1" si="3"/>
        <v>D3</v>
      </c>
      <c r="BA20" s="672">
        <f t="shared" si="4"/>
        <v>20</v>
      </c>
    </row>
    <row r="21" spans="1:53" ht="18.95" customHeight="1" x14ac:dyDescent="0.4">
      <c r="A21" s="173"/>
      <c r="B21" s="17"/>
      <c r="C21" s="949"/>
      <c r="D21" s="17"/>
      <c r="E21" s="17"/>
      <c r="F21" s="17"/>
      <c r="G21" s="1210" t="str">
        <f ca="1">IF($AB$9=1," "&amp;AC21,IF($AB$9=2,IF(AC20="OO"," "&amp;AC21,""),""))</f>
        <v xml:space="preserve"> </v>
      </c>
      <c r="H21" s="1210"/>
      <c r="I21" s="1210"/>
      <c r="J21" s="1210"/>
      <c r="K21" s="1210"/>
      <c r="L21" s="1210"/>
      <c r="M21" s="17"/>
      <c r="N21" s="17"/>
      <c r="O21" s="1210" t="str">
        <f ca="1">IF($AB$9=1," "&amp;AE21,IF($AB$9=2,IF(AE20="OO"," "&amp;AE21,""),""))</f>
        <v xml:space="preserve"> </v>
      </c>
      <c r="P21" s="1210"/>
      <c r="Q21" s="1210"/>
      <c r="R21" s="1210"/>
      <c r="S21" s="1210"/>
      <c r="T21" s="1210"/>
      <c r="U21" s="1210"/>
      <c r="V21" s="17"/>
      <c r="W21" s="17"/>
      <c r="X21" s="17"/>
      <c r="Y21" s="17"/>
      <c r="Z21" s="958"/>
      <c r="AA21" s="17"/>
      <c r="AB21" s="850"/>
      <c r="AC21" s="1193" t="str">
        <f ca="1">AM89</f>
        <v/>
      </c>
      <c r="AD21" s="1193"/>
      <c r="AE21" s="1193" t="str">
        <f ca="1">AO89</f>
        <v/>
      </c>
      <c r="AF21" s="1193"/>
      <c r="AG21" s="716" t="str">
        <f>IF(AO20="FOUT","",IF(W20&gt;Y20,AC20,IF(W20&lt;Y20,AE20,AC20&amp;AE20)))</f>
        <v/>
      </c>
      <c r="AH21" s="415" t="str">
        <f>IF(AD20="LEEG","LEEG",IF(AD20= "FOUT","ONGELDIG",IF(LEN(SUBSTITUTE(SUBSTITUTE("|"&amp;$AD$14&amp;"|"&amp;$AF$14&amp;"|"&amp;$AD$16&amp;"|"&amp;$AF$16&amp;"|"&amp;$AD$18&amp;"|"&amp;$AF$18&amp;"|"&amp;$AD$20&amp;"|"&amp;$AF$20&amp;"|"&amp;$AD$22&amp;"|"&amp;$AF$22&amp;"|"&amp;$AD$24&amp;"|"&amp;$AF$24&amp;"|"&amp;$AD$26&amp;"|"&amp;$AF$26&amp;"|"&amp;$AD$28&amp;"|"&amp;$AF$28&amp;"|","LEEG","##"),AD20,"CONTROLE"))=$AJ$30,"GOED","DUBBEL")))</f>
        <v>LEEG</v>
      </c>
      <c r="AI21" s="5"/>
      <c r="AJ21" s="415" t="str">
        <f>IF(AF20="LEEG","LEEG",IF(AF20= "FOUT","ONGELDIG",IF(LEN(SUBSTITUTE(SUBSTITUTE("|"&amp;$AD$14&amp;"|"&amp;$AF$14&amp;"|"&amp;$AD$16&amp;"|"&amp;$AF$16&amp;"|"&amp;$AD$18&amp;"|"&amp;$AF$18&amp;"|"&amp;$AD$20&amp;"|"&amp;$AF$20&amp;"|"&amp;$AD$22&amp;"|"&amp;$AF$22&amp;"|"&amp;$AD$24&amp;"|"&amp;$AF$24&amp;"|"&amp;$AD$26&amp;"|"&amp;$AF$26&amp;"|"&amp;$AD$28&amp;"|"&amp;$AF$28&amp;"|","LEEG","##"),AF20,"CONTROLE"))=$AJ$30,"GOED","DUBBEL")))</f>
        <v>LEEG</v>
      </c>
      <c r="AK21" s="141"/>
      <c r="AL21" s="141"/>
      <c r="AM21" s="141"/>
      <c r="AN21" s="141"/>
      <c r="AO21" s="141"/>
      <c r="AP21" s="91"/>
      <c r="AQ21" s="291" t="str">
        <f ca="1">VLOOKUP(AR21,Voorblad!$X$67:$Z$98,2,FALSE)</f>
        <v>Italië</v>
      </c>
      <c r="AR21" s="292" t="str">
        <f>AR18&amp;3</f>
        <v>B3</v>
      </c>
      <c r="AS21" s="291" t="str">
        <f ca="1">IF(AT21=$AR$11,$AQ$11,IF(AT21=$AR$12,$AQ$12,VLOOKUP(AT21,Voorblad!$X$67:$Z$98,2,FALSE)))</f>
        <v>Tsjechië</v>
      </c>
      <c r="AT21" s="292" t="str">
        <f t="shared" ca="1" si="0"/>
        <v>F4</v>
      </c>
      <c r="AU21" s="291" t="str">
        <f ca="1">IF(AV21=$AR$11,$AQ$11,IF(AV21=$AR$12,$AQ$12,VLOOKUP(AV21,Voorblad!$X$67:$Z$98,2,FALSE)))</f>
        <v>Roemenië</v>
      </c>
      <c r="AV21" s="292" t="str">
        <f t="shared" ca="1" si="1"/>
        <v>E3</v>
      </c>
      <c r="AW21" s="291" t="str">
        <f ca="1">IF(AX21=$AR$11,$AQ$11,IF(AX21=$AR$12,$AQ$12,VLOOKUP(AX21,Voorblad!$X$67:$Z$98,2,FALSE)))</f>
        <v>Spanje</v>
      </c>
      <c r="AX21" s="292" t="str">
        <f t="shared" ca="1" si="2"/>
        <v>B1</v>
      </c>
      <c r="AY21" s="291" t="str">
        <f ca="1">IF(AZ21=$AR$11,$AQ$11,IF(AZ21=$AR$12,$AQ$12,VLOOKUP(AZ21,Voorblad!$X$67:$Z$98,2,FALSE)))</f>
        <v>Polen</v>
      </c>
      <c r="AZ21" s="292" t="str">
        <f t="shared" ca="1" si="3"/>
        <v>D1</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c r="M22" s="665"/>
      <c r="N22" s="666" t="str">
        <f>IF(AK22="LEEG","▼   ","")&amp;"-  "</f>
        <v xml:space="preserve">▼   -  </v>
      </c>
      <c r="O22" s="1192" t="str">
        <f ca="1">" "&amp;Taal04!$B$75&amp;" E"</f>
        <v xml:space="preserve"> Nr.2 Groep E</v>
      </c>
      <c r="P22" s="1192"/>
      <c r="Q22" s="1192"/>
      <c r="R22" s="1192"/>
      <c r="S22" s="1192"/>
      <c r="T22" s="1192"/>
      <c r="U22" s="667"/>
      <c r="V22" s="666" t="str">
        <f>IF(AL22="LEEG","▼   ","")&amp;": "</f>
        <v xml:space="preserve">▼   : </v>
      </c>
      <c r="W22" s="738"/>
      <c r="X22" s="940" t="s">
        <v>12</v>
      </c>
      <c r="Y22" s="738"/>
      <c r="Z22" s="958"/>
      <c r="AA22" s="17"/>
      <c r="AB22" s="851">
        <f>IF(AND(AM22="GOED",AN22="GOED"),W22+Y22,0)</f>
        <v>0</v>
      </c>
      <c r="AC22" s="271" t="str">
        <f>IF(OR(L22="",ISBLANK(L22)),"OO",IF(TYPE(VLOOKUP(L22,Taal02!$C$100:$D$419,2,FALSE))=16,"XX",VLOOKUP(L22,Taal02!$C$100:$D$419,2,FALSE)))</f>
        <v>OO</v>
      </c>
      <c r="AD22" s="235" t="str">
        <f>IF(AC22="OO","LEEG",IF(AC22="XX","FOUT",VLOOKUP(AC22,Voorblad!$X$65:$Z$98,3,FALSE)))</f>
        <v>LEEG</v>
      </c>
      <c r="AE22" s="271" t="str">
        <f>IF(OR(U22="",ISBLANK(U22)),"OO",IF(TYPE(VLOOKUP(U22,Taal02!$C$100:$D$419,2,FALSE))=16,"XX",VLOOKUP(U22,Taal02!$C$100:$D$419,2,FALSE)))</f>
        <v>OO</v>
      </c>
      <c r="AF22" s="235" t="str">
        <f>IF(AE22="OO","LEEG",IF(AE22="XX","FOUT",VLOOKUP(AE22,Voorblad!$X$65:$Z$98,3,FALSE)))</f>
        <v>LEEG</v>
      </c>
      <c r="AG22" s="5"/>
      <c r="AH22" s="10" t="s">
        <v>121</v>
      </c>
      <c r="AI22" s="10" t="s">
        <v>12</v>
      </c>
      <c r="AJ22" s="10" t="s">
        <v>125</v>
      </c>
      <c r="AK22" s="4" t="str">
        <f>IF(AD22="LEEG","LEEG",IF(TYPE(AD22)=2,IF(LEN(AD22)=2,IF(AND($AI$11=0,AH23="DUBBEL"),"ONGELDIG","GOED"),"ONGELDIG"),"ONGELDIG"))</f>
        <v>LEEG</v>
      </c>
      <c r="AL22" s="4" t="str">
        <f>IF(AF22="LEEG","LEEG",IF(TYPE(AF22)=2,IF(LEN(AF22)=2,IF(AND($AI$11=0,AJ23="DUBBEL"),"ONGELDIG","GOED"),"ONGELDIG"),"ONGELDIG"))</f>
        <v>LEEG</v>
      </c>
      <c r="AM22" s="4" t="str">
        <f>IF(ISBLANK(W22),"LEEG",IF(TYPE(W22)=1,IF(AND(W22&lt;10,W22&gt;=0),IF(W22=ROUND(W22,0),"GOED","ONGELDIG"),"ONGELDIG"),"ONGELDIG"))</f>
        <v>LEEG</v>
      </c>
      <c r="AN22" s="4" t="str">
        <f>IF(ISBLANK(Y22),"LEEG",IF(TYPE(Y22)=1,IF(AND(Y22&lt;10,Y22&gt;=0),IF(Y22=ROUND(Y22,0),"GOED","ONGELDIG"),"ONGELDIG"),"ONGELDIG"))</f>
        <v>LEEG</v>
      </c>
      <c r="AO22" s="138" t="str">
        <f>IF(AK22="GOED",IF(AL22="GOED",IF(AM22="GOED",IF(AN22="GOED",AD22&amp;AF22&amp;W22&amp;Y22&amp;"|","FOUT"),"FOUT"),"FOUT"),"FOUT")</f>
        <v>FOUT</v>
      </c>
      <c r="AP22" s="91">
        <f>LEN(AO22)</f>
        <v>4</v>
      </c>
      <c r="AQ22" s="293" t="str">
        <f ca="1">VLOOKUP(AR22,Voorblad!$X$67:$Z$98,2,FALSE)</f>
        <v>Albanië</v>
      </c>
      <c r="AR22" s="295" t="str">
        <f>AR18&amp;4</f>
        <v>B4</v>
      </c>
      <c r="AS22" s="291" t="str">
        <f ca="1">IF(AT22=$AR$11,$AQ$11,IF(AT22=$AR$12,$AQ$12,VLOOKUP(AT22,Voorblad!$X$67:$Z$98,2,FALSE)))</f>
        <v>Turkije</v>
      </c>
      <c r="AT22" s="292" t="str">
        <f t="shared" ca="1" si="0"/>
        <v>F1</v>
      </c>
      <c r="AU22" s="291" t="str">
        <f ca="1">IF(AV22=$AR$11,$AQ$11,IF(AV22=$AR$12,$AQ$12,VLOOKUP(AV22,Voorblad!$X$67:$Z$98,2,FALSE)))</f>
        <v>Schotland</v>
      </c>
      <c r="AV22" s="292" t="str">
        <f t="shared" ca="1" si="1"/>
        <v>A2</v>
      </c>
      <c r="AW22" s="291" t="str">
        <f ca="1">IF(AX22=$AR$11,$AQ$11,IF(AX22=$AR$12,$AQ$12,VLOOKUP(AX22,Voorblad!$X$67:$Z$98,2,FALSE)))</f>
        <v>Zwitserland</v>
      </c>
      <c r="AX22" s="292" t="str">
        <f t="shared" ca="1" si="2"/>
        <v>A4</v>
      </c>
      <c r="AY22" s="291" t="str">
        <f ca="1">IF(AZ22=$AR$11,$AQ$11,IF(AZ22=$AR$12,$AQ$12,VLOOKUP(AZ22,Voorblad!$X$67:$Z$98,2,FALSE)))</f>
        <v>Schotland</v>
      </c>
      <c r="AZ22" s="292" t="str">
        <f t="shared" ca="1" si="3"/>
        <v>A2</v>
      </c>
      <c r="BA22" s="672">
        <f t="shared" si="4"/>
        <v>24</v>
      </c>
    </row>
    <row r="23" spans="1:53" ht="18.95" customHeight="1" x14ac:dyDescent="0.25">
      <c r="A23" s="173"/>
      <c r="B23" s="17"/>
      <c r="C23" s="949"/>
      <c r="D23" s="17"/>
      <c r="E23" s="17"/>
      <c r="F23" s="17"/>
      <c r="G23" s="1210" t="str">
        <f ca="1">IF($AB$9=1," "&amp;AC23,IF($AB$9=2,IF(AC22="OO"," "&amp;AC23,""),""))</f>
        <v xml:space="preserve"> </v>
      </c>
      <c r="H23" s="1210"/>
      <c r="I23" s="1210"/>
      <c r="J23" s="1210"/>
      <c r="K23" s="1210"/>
      <c r="L23" s="1210"/>
      <c r="M23" s="17"/>
      <c r="N23" s="17"/>
      <c r="O23" s="1210" t="str">
        <f ca="1">IF($AB$9=1," "&amp;AE23,IF($AB$9=2,IF(AE22="OO"," "&amp;AE23,""),""))</f>
        <v xml:space="preserve"> </v>
      </c>
      <c r="P23" s="1210"/>
      <c r="Q23" s="1210"/>
      <c r="R23" s="1210"/>
      <c r="S23" s="1210"/>
      <c r="T23" s="1210"/>
      <c r="U23" s="1210"/>
      <c r="V23" s="17"/>
      <c r="W23" s="17"/>
      <c r="X23" s="262"/>
      <c r="Y23" s="17"/>
      <c r="Z23" s="958"/>
      <c r="AA23" s="17"/>
      <c r="AB23" s="850"/>
      <c r="AC23" s="1193" t="str">
        <f ca="1">AM90</f>
        <v/>
      </c>
      <c r="AD23" s="1193"/>
      <c r="AE23" s="1193" t="str">
        <f ca="1">AO90</f>
        <v/>
      </c>
      <c r="AF23" s="1193"/>
      <c r="AG23" s="716" t="str">
        <f>IF(AO22="FOUT","",IF(W22&gt;Y22,AC22,IF(W22&lt;Y22,AE22,AC22&amp;AE22)))</f>
        <v/>
      </c>
      <c r="AH23" s="415" t="str">
        <f>IF(AD22="LEEG","LEEG",IF(AD22= "FOUT","ONGELDIG",IF(LEN(SUBSTITUTE(SUBSTITUTE("|"&amp;$AD$14&amp;"|"&amp;$AF$14&amp;"|"&amp;$AD$16&amp;"|"&amp;$AF$16&amp;"|"&amp;$AD$18&amp;"|"&amp;$AF$18&amp;"|"&amp;$AD$20&amp;"|"&amp;$AF$20&amp;"|"&amp;$AD$22&amp;"|"&amp;$AF$22&amp;"|"&amp;$AD$24&amp;"|"&amp;$AF$24&amp;"|"&amp;$AD$26&amp;"|"&amp;$AF$26&amp;"|"&amp;$AD$28&amp;"|"&amp;$AF$28&amp;"|","LEEG","##"),AD22,"CONTROLE"))=$AJ$30,"GOED","DUBBEL")))</f>
        <v>LEEG</v>
      </c>
      <c r="AI23" s="5"/>
      <c r="AJ23" s="415" t="str">
        <f>IF(AF22="LEEG","LEEG",IF(AF22= "FOUT","ONGELDIG",IF(LEN(SUBSTITUTE(SUBSTITUTE("|"&amp;$AD$14&amp;"|"&amp;$AF$14&amp;"|"&amp;$AD$16&amp;"|"&amp;$AF$16&amp;"|"&amp;$AD$18&amp;"|"&amp;$AF$18&amp;"|"&amp;$AD$20&amp;"|"&amp;$AF$20&amp;"|"&amp;$AD$22&amp;"|"&amp;$AF$22&amp;"|"&amp;$AD$24&amp;"|"&amp;$AF$24&amp;"|"&amp;$AD$26&amp;"|"&amp;$AF$26&amp;"|"&amp;$AD$28&amp;"|"&amp;$AF$28&amp;"|","LEEG","##"),AF22,"CONTROLE"))=$AJ$30,"GOED","DUBBEL")))</f>
        <v>LEEG</v>
      </c>
      <c r="AK23" s="4"/>
      <c r="AL23" s="4"/>
      <c r="AM23" s="4"/>
      <c r="AN23" s="4"/>
      <c r="AO23" s="138"/>
      <c r="AP23" s="91"/>
      <c r="AQ23" s="287"/>
      <c r="AR23" s="289" t="s">
        <v>4</v>
      </c>
      <c r="AS23" s="291" t="str">
        <f ca="1">IF(AT23=$AR$11,$AQ$11,IF(AT23=$AR$12,$AQ$12,VLOOKUP(AT23,Voorblad!$X$67:$Z$98,2,FALSE)))</f>
        <v/>
      </c>
      <c r="AT23" s="292" t="str">
        <f t="shared" ca="1" si="0"/>
        <v>??</v>
      </c>
      <c r="AU23" s="291" t="str">
        <f ca="1">IF(AV23=$AR$11,$AQ$11,IF(AV23=$AR$12,$AQ$12,VLOOKUP(AV23,Voorblad!$X$67:$Z$98,2,FALSE)))</f>
        <v>Slowakije</v>
      </c>
      <c r="AV23" s="292" t="str">
        <f t="shared" ca="1" si="1"/>
        <v>E2</v>
      </c>
      <c r="AW23" s="291" t="str">
        <f ca="1">IF(AX23=$AR$11,$AQ$11,IF(AX23=$AR$12,$AQ$12,VLOOKUP(AX23,Voorblad!$X$67:$Z$98,2,FALSE)))</f>
        <v/>
      </c>
      <c r="AX23" s="292" t="str">
        <f t="shared" ca="1" si="2"/>
        <v>??</v>
      </c>
      <c r="AY23" s="291" t="str">
        <f ca="1">IF(AZ23=$AR$11,$AQ$11,IF(AZ23=$AR$12,$AQ$12,VLOOKUP(AZ23,Voorblad!$X$67:$Z$98,2,FALSE)))</f>
        <v>Servië</v>
      </c>
      <c r="AZ23" s="292" t="str">
        <f t="shared" ca="1" si="3"/>
        <v>C3</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c r="M24" s="665"/>
      <c r="N24" s="666" t="str">
        <f>IF(AK24="LEEG","▼   ","")&amp;"-  "</f>
        <v xml:space="preserve">▼   -  </v>
      </c>
      <c r="O24" s="1192" t="str">
        <f ca="1">" "&amp;Taal04!$B$76&amp;" A/B/C"</f>
        <v xml:space="preserve"> Nr.3 Groep A/B/C</v>
      </c>
      <c r="P24" s="1192"/>
      <c r="Q24" s="1192"/>
      <c r="R24" s="1192"/>
      <c r="S24" s="1192"/>
      <c r="T24" s="1192"/>
      <c r="U24" s="668"/>
      <c r="V24" s="666" t="str">
        <f>IF(AL24="LEEG","▼   ","")&amp;": "</f>
        <v xml:space="preserve">▼   : </v>
      </c>
      <c r="W24" s="738"/>
      <c r="X24" s="940" t="s">
        <v>12</v>
      </c>
      <c r="Y24" s="738"/>
      <c r="Z24" s="958"/>
      <c r="AA24" s="17"/>
      <c r="AB24" s="851">
        <f>IF(AND(AM24="GOED",AN24="GOED"),W24+Y24,0)</f>
        <v>0</v>
      </c>
      <c r="AC24" s="271" t="str">
        <f>IF(OR(L24="",ISBLANK(L24)),"OO",IF(TYPE(VLOOKUP(L24,Taal02!$C$100:$D$419,2,FALSE))=16,"XX",VLOOKUP(L24,Taal02!$C$100:$D$419,2,FALSE)))</f>
        <v>OO</v>
      </c>
      <c r="AD24" s="235" t="str">
        <f>IF(AC24="OO","LEEG",IF(AC24="XX","FOUT",VLOOKUP(AC24,Voorblad!$X$65:$Z$98,3,FALSE)))</f>
        <v>LEEG</v>
      </c>
      <c r="AE24" s="271" t="str">
        <f>IF(OR(U24="",ISBLANK(U24)),"OO",IF(TYPE(VLOOKUP(U24,Taal02!$C$100:$D$419,2,FALSE))=16,"XX",VLOOKUP(U24,Taal02!$C$100:$D$419,2,FALSE)))</f>
        <v>OO</v>
      </c>
      <c r="AF24" s="235" t="str">
        <f>IF(AE24="OO","LEEG",IF(AE24="XX","FOUT",VLOOKUP(AE24,Voorblad!$X$65:$Z$98,3,FALSE)))</f>
        <v>LEEG</v>
      </c>
      <c r="AG24" s="5"/>
      <c r="AH24" s="10" t="s">
        <v>129</v>
      </c>
      <c r="AI24" s="10" t="s">
        <v>12</v>
      </c>
      <c r="AJ24" s="10" t="s">
        <v>2495</v>
      </c>
      <c r="AK24" s="4" t="str">
        <f>IF(AD24="LEEG","LEEG",IF(TYPE(AD24)=2,IF(LEN(AD24)=2,IF(AND($AI$11=0,AH25="DUBBEL"),"ONGELDIG","GOED"),"ONGELDIG"),"ONGELDIG"))</f>
        <v>LEEG</v>
      </c>
      <c r="AL24" s="4" t="str">
        <f>IF(AF24="LEEG","LEEG",IF(TYPE(AF24)=2,IF(LEN(AF24)=2,IF(AND($AI$11=0,AJ25="DUBBEL"),"ONGELDIG","GOED"),"ONGELDIG"),"ONGELDIG"))</f>
        <v>LEEG</v>
      </c>
      <c r="AM24" s="4" t="str">
        <f>IF(ISBLANK(W24),"LEEG",IF(TYPE(W24)=1,IF(AND(W24&lt;10,W24&gt;=0),IF(W24=ROUND(W24,0),"GOED","ONGELDIG"),"ONGELDIG"),"ONGELDIG"))</f>
        <v>LEEG</v>
      </c>
      <c r="AN24" s="4" t="str">
        <f>IF(ISBLANK(Y24),"LEEG",IF(TYPE(Y24)=1,IF(AND(Y24&lt;10,Y24&gt;=0),IF(Y24=ROUND(Y24,0),"GOED","ONGELDIG"),"ONGELDIG"),"ONGELDIG"))</f>
        <v>LEEG</v>
      </c>
      <c r="AO24" s="138" t="str">
        <f>IF(AK24="GOED",IF(AL24="GOED",IF(AM24="GOED",IF(AN24="GOED",AD24&amp;AF24&amp;W24&amp;Y24&amp;"|","FOUT"),"FOUT"),"FOUT"),"FOUT")</f>
        <v>FOUT</v>
      </c>
      <c r="AP24" s="91">
        <f>LEN(AO24)</f>
        <v>4</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Tsjechië</v>
      </c>
      <c r="AV24" s="292" t="str">
        <f t="shared" ca="1" si="1"/>
        <v>F4</v>
      </c>
      <c r="AW24" s="291" t="str">
        <f ca="1">IF(AX24=$AR$11,$AQ$11,IF(AX24=$AR$12,$AQ$12,VLOOKUP(AX24,Voorblad!$X$67:$Z$98,2,FALSE)))</f>
        <v/>
      </c>
      <c r="AX24" s="292" t="str">
        <f t="shared" ca="1" si="2"/>
        <v>??</v>
      </c>
      <c r="AY24" s="291" t="str">
        <f ca="1">IF(AZ24=$AR$11,$AQ$11,IF(AZ24=$AR$12,$AQ$12,VLOOKUP(AZ24,Voorblad!$X$67:$Z$98,2,FALSE)))</f>
        <v>Slovenië</v>
      </c>
      <c r="AZ24" s="292" t="str">
        <f ca="1">RIGHT(LEFT($AL$92,$BA24),2)</f>
        <v>C1</v>
      </c>
      <c r="BA24" s="292">
        <f t="shared" si="4"/>
        <v>28</v>
      </c>
    </row>
    <row r="25" spans="1:53" ht="18.95" customHeight="1" x14ac:dyDescent="0.25">
      <c r="A25" s="173"/>
      <c r="B25" s="17"/>
      <c r="C25" s="949"/>
      <c r="D25" s="17"/>
      <c r="E25" s="17"/>
      <c r="F25" s="17"/>
      <c r="G25" s="1210" t="str">
        <f ca="1">IF($AB$9=1," "&amp;AC25,IF($AB$9=2,IF(AC24="OO"," "&amp;AC25,""),""))</f>
        <v xml:space="preserve"> </v>
      </c>
      <c r="H25" s="1210"/>
      <c r="I25" s="1210"/>
      <c r="J25" s="1210"/>
      <c r="K25" s="1210"/>
      <c r="L25" s="1210"/>
      <c r="M25" s="17"/>
      <c r="N25" s="17"/>
      <c r="O25" s="1210" t="str">
        <f ca="1">IF($AB$9=1," "&amp;AE25,IF($AB$9=2,IF(AE24="OO"," "&amp;AE25,""),""))</f>
        <v xml:space="preserve"> </v>
      </c>
      <c r="P25" s="1210"/>
      <c r="Q25" s="1210"/>
      <c r="R25" s="1210"/>
      <c r="S25" s="1210"/>
      <c r="T25" s="1210"/>
      <c r="U25" s="1210"/>
      <c r="V25" s="17"/>
      <c r="W25" s="17"/>
      <c r="X25" s="262"/>
      <c r="Y25" s="17"/>
      <c r="Z25" s="958"/>
      <c r="AA25" s="17"/>
      <c r="AB25" s="850"/>
      <c r="AC25" s="1193" t="str">
        <f ca="1">AM91</f>
        <v/>
      </c>
      <c r="AD25" s="1193"/>
      <c r="AE25" s="1193" t="str">
        <f ca="1">AO91</f>
        <v/>
      </c>
      <c r="AF25" s="1193"/>
      <c r="AG25" s="716" t="str">
        <f>IF(AO24="FOUT","",IF(W24&gt;Y24,AC24,IF(W24&lt;Y24,AE24,AC24&amp;AE24)))</f>
        <v/>
      </c>
      <c r="AH25" s="415" t="str">
        <f>IF(AD24="LEEG","LEEG",IF(AD24= "FOUT","ONGELDIG",IF(LEN(SUBSTITUTE(SUBSTITUTE("|"&amp;$AD$14&amp;"|"&amp;$AF$14&amp;"|"&amp;$AD$16&amp;"|"&amp;$AF$16&amp;"|"&amp;$AD$18&amp;"|"&amp;$AF$18&amp;"|"&amp;$AD$20&amp;"|"&amp;$AF$20&amp;"|"&amp;$AD$22&amp;"|"&amp;$AF$22&amp;"|"&amp;$AD$24&amp;"|"&amp;$AF$24&amp;"|"&amp;$AD$26&amp;"|"&amp;$AF$26&amp;"|"&amp;$AD$28&amp;"|"&amp;$AF$28&amp;"|","LEEG","##"),AD24,"CONTROLE"))=$AJ$30,"GOED","DUBBEL")))</f>
        <v>LEEG</v>
      </c>
      <c r="AI25" s="5"/>
      <c r="AJ25" s="415" t="str">
        <f>IF(AF24="LEEG","LEEG",IF(AF24= "FOUT","ONGELDIG",IF(LEN(SUBSTITUTE(SUBSTITUTE("|"&amp;$AD$14&amp;"|"&amp;$AF$14&amp;"|"&amp;$AD$16&amp;"|"&amp;$AF$16&amp;"|"&amp;$AD$18&amp;"|"&amp;$AF$18&amp;"|"&amp;$AD$20&amp;"|"&amp;$AF$20&amp;"|"&amp;$AD$22&amp;"|"&amp;$AF$22&amp;"|"&amp;$AD$24&amp;"|"&amp;$AF$24&amp;"|"&amp;$AD$26&amp;"|"&amp;$AF$26&amp;"|"&amp;$AD$28&amp;"|"&amp;$AF$28&amp;"|","LEEG","##"),AF24,"CONTROLE"))=$AJ$30,"GOED","DUBBEL")))</f>
        <v>LEEG</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Turkije</v>
      </c>
      <c r="AV25" s="292" t="str">
        <f t="shared" ca="1" si="1"/>
        <v>F1</v>
      </c>
      <c r="AW25" s="291" t="str">
        <f ca="1">IF(AX25=$AR$11,$AQ$11,IF(AX25=$AR$12,$AQ$12,VLOOKUP(AX25,Voorblad!$X$67:$Z$98,2,FALSE)))</f>
        <v/>
      </c>
      <c r="AX25" s="292" t="str">
        <f t="shared" ca="1" si="2"/>
        <v>??</v>
      </c>
      <c r="AY25" s="291" t="str">
        <f ca="1">IF(AZ25=$AR$11,$AQ$11,IF(AZ25=$AR$12,$AQ$12,VLOOKUP(AZ25,Voorblad!$X$67:$Z$98,2,FALSE)))</f>
        <v>Spanje</v>
      </c>
      <c r="AZ25" s="292" t="str">
        <f ca="1">RIGHT(LEFT($AL$92,$BA25),2)</f>
        <v>B1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c r="M26" s="665"/>
      <c r="N26" s="666" t="str">
        <f>IF(AK26="LEEG","▼   ","")&amp;"-  "</f>
        <v xml:space="preserve">▼   -  </v>
      </c>
      <c r="O26" s="1192" t="str">
        <f ca="1">" "&amp;Taal04!$B$76&amp;" A/B/C/D"</f>
        <v xml:space="preserve"> Nr.3 Groep A/B/C/D</v>
      </c>
      <c r="P26" s="1192"/>
      <c r="Q26" s="1192"/>
      <c r="R26" s="1192"/>
      <c r="S26" s="1192"/>
      <c r="T26" s="1192"/>
      <c r="U26" s="667"/>
      <c r="V26" s="666" t="str">
        <f>IF(AL26="LEEG","▼   ","")&amp;": "</f>
        <v xml:space="preserve">▼   : </v>
      </c>
      <c r="W26" s="738"/>
      <c r="X26" s="940" t="s">
        <v>12</v>
      </c>
      <c r="Y26" s="738"/>
      <c r="Z26" s="958"/>
      <c r="AA26" s="17"/>
      <c r="AB26" s="851">
        <f>IF(AND(AM26="GOED",AN26="GOED"),W26+Y26,0)</f>
        <v>0</v>
      </c>
      <c r="AC26" s="271" t="str">
        <f>IF(OR(L26="",ISBLANK(L26)),"OO",IF(TYPE(VLOOKUP(L26,Taal02!$C$100:$D$419,2,FALSE))=16,"XX",VLOOKUP(L26,Taal02!$C$100:$D$419,2,FALSE)))</f>
        <v>OO</v>
      </c>
      <c r="AD26" s="235" t="str">
        <f>IF(AC26="OO","LEEG",IF(AC26="XX","FOUT",VLOOKUP(AC26,Voorblad!$X$65:$Z$98,3,FALSE)))</f>
        <v>LEEG</v>
      </c>
      <c r="AE26" s="271" t="str">
        <f>IF(OR(U26="",ISBLANK(U26)),"OO",IF(TYPE(VLOOKUP(U26,Taal02!$C$100:$D$419,2,FALSE))=16,"XX",VLOOKUP(U26,Taal02!$C$100:$D$419,2,FALSE)))</f>
        <v>OO</v>
      </c>
      <c r="AF26" s="235" t="str">
        <f>IF(AE26="OO","LEEG",IF(AE26="XX","FOUT",VLOOKUP(AE26,Voorblad!$X$65:$Z$98,3,FALSE)))</f>
        <v>LEEG</v>
      </c>
      <c r="AG26" s="5"/>
      <c r="AH26" s="10" t="s">
        <v>124</v>
      </c>
      <c r="AI26" s="10" t="s">
        <v>12</v>
      </c>
      <c r="AJ26" s="10" t="s">
        <v>2496</v>
      </c>
      <c r="AK26" s="4" t="str">
        <f>IF(AD26="LEEG","LEEG",IF(TYPE(AD26)=2,IF(LEN(AD26)=2,IF(AND($AI$11=0,AH27="DUBBEL"),"ONGELDIG","GOED"),"ONGELDIG"),"ONGELDIG"))</f>
        <v>LEEG</v>
      </c>
      <c r="AL26" s="4" t="str">
        <f>IF(AF26="LEEG","LEEG",IF(TYPE(AF26)=2,IF(LEN(AF26)=2,IF(AND($AI$11=0,AJ27="DUBBEL"),"ONGELDIG","GOED"),"ONGELDIG"),"ONGELDIG"))</f>
        <v>LEEG</v>
      </c>
      <c r="AM26" s="4" t="str">
        <f>IF(ISBLANK(W26),"LEEG",IF(TYPE(W26)=1,IF(AND(W26&lt;10,W26&gt;=0),IF(W26=ROUND(W26,0),"GOED","ONGELDIG"),"ONGELDIG"),"ONGELDIG"))</f>
        <v>LEEG</v>
      </c>
      <c r="AN26" s="4" t="str">
        <f>IF(ISBLANK(Y26),"LEEG",IF(TYPE(Y26)=1,IF(AND(Y26&lt;10,Y26&gt;=0),IF(Y26=ROUND(Y26,0),"GOED","ONGELDIG"),"ONGELDIG"),"ONGELDIG"))</f>
        <v>LEEG</v>
      </c>
      <c r="AO26" s="138" t="str">
        <f>IF(AK26="GOED",IF(AL26="GOED",IF(AM26="GOED",IF(AN26="GOED",AD26&amp;AF26&amp;W26&amp;Y26&amp;"|","FOUT"),"FOUT"),"FOUT"),"FOUT")</f>
        <v>FOUT</v>
      </c>
      <c r="AP26" s="91">
        <f>LEN(AO26)</f>
        <v>4</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Zwitserland</v>
      </c>
      <c r="AV26" s="292" t="str">
        <f t="shared" ca="1" si="1"/>
        <v>A4</v>
      </c>
      <c r="AW26" s="291" t="str">
        <f ca="1">IF(AX26=$AR$11,$AQ$11,IF(AX26=$AR$12,$AQ$12,VLOOKUP(AX26,Voorblad!$X$67:$Z$98,2,FALSE)))</f>
        <v/>
      </c>
      <c r="AX26" s="292" t="str">
        <f t="shared" ca="1" si="2"/>
        <v>??</v>
      </c>
      <c r="AY26" s="291" t="str">
        <f ca="1">IF(AZ26=$AR$11,$AQ$11,IF(AZ26=$AR$12,$AQ$12,VLOOKUP(AZ26,Voorblad!$X$67:$Z$98,2,FALSE)))</f>
        <v>Zwitserland</v>
      </c>
      <c r="AZ26" s="292" t="str">
        <f ca="1">RIGHT(LEFT($AL$92,$BA26),2)</f>
        <v>A4</v>
      </c>
      <c r="BA26" s="672">
        <f t="shared" si="4"/>
        <v>32</v>
      </c>
    </row>
    <row r="27" spans="1:53" ht="18.95" customHeight="1" x14ac:dyDescent="0.25">
      <c r="A27" s="173"/>
      <c r="B27" s="17"/>
      <c r="C27" s="949"/>
      <c r="D27" s="17"/>
      <c r="E27" s="17"/>
      <c r="F27" s="17"/>
      <c r="G27" s="1210" t="str">
        <f ca="1">IF($AB$9=1," "&amp;AC27,IF($AB$9=2,IF(AC26="OO"," "&amp;AC27,""),""))</f>
        <v xml:space="preserve"> </v>
      </c>
      <c r="H27" s="1210"/>
      <c r="I27" s="1210"/>
      <c r="J27" s="1210"/>
      <c r="K27" s="1210"/>
      <c r="L27" s="1210"/>
      <c r="M27" s="17"/>
      <c r="N27" s="17"/>
      <c r="O27" s="1210" t="str">
        <f ca="1">IF($AB$9=1," "&amp;AE27,IF($AB$9=2,IF(AE26="OO"," "&amp;AE27,""),""))</f>
        <v xml:space="preserve"> </v>
      </c>
      <c r="P27" s="1210"/>
      <c r="Q27" s="1210"/>
      <c r="R27" s="1210"/>
      <c r="S27" s="1210"/>
      <c r="T27" s="1210"/>
      <c r="U27" s="1210"/>
      <c r="V27" s="17"/>
      <c r="W27" s="17"/>
      <c r="X27" s="262"/>
      <c r="Y27" s="17"/>
      <c r="Z27" s="958"/>
      <c r="AA27" s="17"/>
      <c r="AB27" s="850"/>
      <c r="AC27" s="1193" t="str">
        <f ca="1">AM92</f>
        <v/>
      </c>
      <c r="AD27" s="1193"/>
      <c r="AE27" s="1193" t="str">
        <f ca="1">AO92</f>
        <v/>
      </c>
      <c r="AF27" s="1193"/>
      <c r="AG27" s="716" t="str">
        <f>IF(AO26="FOUT","",IF(W26&gt;Y26,AC26,IF(W26&lt;Y26,AE26,AC26&amp;AE26)))</f>
        <v/>
      </c>
      <c r="AH27" s="415" t="str">
        <f>IF(AD26="LEEG","LEEG",IF(AD26= "FOUT","ONGELDIG",IF(LEN(SUBSTITUTE(SUBSTITUTE("|"&amp;$AD$14&amp;"|"&amp;$AF$14&amp;"|"&amp;$AD$16&amp;"|"&amp;$AF$16&amp;"|"&amp;$AD$18&amp;"|"&amp;$AF$18&amp;"|"&amp;$AD$20&amp;"|"&amp;$AF$20&amp;"|"&amp;$AD$22&amp;"|"&amp;$AF$22&amp;"|"&amp;$AD$24&amp;"|"&amp;$AF$24&amp;"|"&amp;$AD$26&amp;"|"&amp;$AF$26&amp;"|"&amp;$AD$28&amp;"|"&amp;$AF$28&amp;"|","LEEG","##"),AD26,"CONTROLE"))=$AJ$30,"GOED","DUBBEL")))</f>
        <v>LEEG</v>
      </c>
      <c r="AI27" s="5"/>
      <c r="AJ27" s="415" t="str">
        <f>IF(AF26="LEEG","LEEG",IF(AF26= "FOUT","ONGELDIG",IF(LEN(SUBSTITUTE(SUBSTITUTE("|"&amp;$AD$14&amp;"|"&amp;$AF$14&amp;"|"&amp;$AD$16&amp;"|"&amp;$AF$16&amp;"|"&amp;$AD$18&amp;"|"&amp;$AF$18&amp;"|"&amp;$AD$20&amp;"|"&amp;$AF$20&amp;"|"&amp;$AD$22&amp;"|"&amp;$AF$22&amp;"|"&amp;$AD$24&amp;"|"&amp;$AF$24&amp;"|"&amp;$AD$26&amp;"|"&amp;$AF$26&amp;"|"&amp;$AD$28&amp;"|"&amp;$AF$28&amp;"|","LEEG","##"),AF26,"CONTROLE"))=$AJ$30,"GOED","DUBBEL")))</f>
        <v>LEEG</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
      </c>
      <c r="AV27" s="292" t="str">
        <f t="shared" ca="1" si="1"/>
        <v>??</v>
      </c>
      <c r="AW27" s="291" t="str">
        <f ca="1">IF(AX27=$AR$11,$AQ$11,IF(AX27=$AR$12,$AQ$12,VLOOKUP(AX27,Voorblad!$X$67:$Z$98,2,FALSE)))</f>
        <v/>
      </c>
      <c r="AX27" s="292" t="str">
        <f t="shared" ca="1" si="2"/>
        <v>??</v>
      </c>
      <c r="AY27" s="291" t="str">
        <f ca="1">IF(AZ27=$AR$11,$AQ$11,IF(AZ27=$AR$12,$AQ$12,VLOOKUP(AZ27,Voorblad!$X$67:$Z$98,2,FALSE)))</f>
        <v/>
      </c>
      <c r="AZ27" s="292" t="str">
        <f ca="1">RIGHT(LEFT($AL$92,$BA27),2)</f>
        <v>??</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c r="M28" s="665"/>
      <c r="N28" s="666" t="str">
        <f>IF(AK28="LEEG","▼   ","")&amp;"-  "</f>
        <v xml:space="preserve">▼   -  </v>
      </c>
      <c r="O28" s="1192" t="str">
        <f ca="1">" "&amp;Taal04!$B$75&amp;" F"</f>
        <v xml:space="preserve"> Nr.2 Groep F</v>
      </c>
      <c r="P28" s="1192"/>
      <c r="Q28" s="1192"/>
      <c r="R28" s="1192"/>
      <c r="S28" s="1192"/>
      <c r="T28" s="1192"/>
      <c r="U28" s="668"/>
      <c r="V28" s="666" t="str">
        <f>IF(AL28="LEEG","▼   ","")&amp;": "</f>
        <v xml:space="preserve">▼   : </v>
      </c>
      <c r="W28" s="738"/>
      <c r="X28" s="940" t="s">
        <v>12</v>
      </c>
      <c r="Y28" s="738"/>
      <c r="Z28" s="958"/>
      <c r="AA28" s="17"/>
      <c r="AB28" s="851">
        <f>IF(AND(AM28="GOED",AN28="GOED"),W28+Y28,0)</f>
        <v>0</v>
      </c>
      <c r="AC28" s="271" t="str">
        <f>IF(OR(L28="",ISBLANK(L28)),"OO",IF(TYPE(VLOOKUP(L28,Taal02!$C$100:$D$419,2,FALSE))=16,"XX",VLOOKUP(L28,Taal02!$C$100:$D$419,2,FALSE)))</f>
        <v>OO</v>
      </c>
      <c r="AD28" s="235" t="str">
        <f>IF(AC28="OO","LEEG",IF(AC28="XX","FOUT",VLOOKUP(AC28,Voorblad!$X$65:$Z$98,3,FALSE)))</f>
        <v>LEEG</v>
      </c>
      <c r="AE28" s="271" t="str">
        <f>IF(OR(U28="",ISBLANK(U28)),"OO",IF(TYPE(VLOOKUP(U28,Taal02!$C$100:$D$419,2,FALSE))=16,"XX",VLOOKUP(U28,Taal02!$C$100:$D$419,2,FALSE)))</f>
        <v>OO</v>
      </c>
      <c r="AF28" s="235" t="str">
        <f>IF(AE28="OO","LEEG",IF(AE28="XX","FOUT",VLOOKUP(AE28,Voorblad!$X$65:$Z$98,3,FALSE)))</f>
        <v>LEEG</v>
      </c>
      <c r="AG28" s="5"/>
      <c r="AH28" s="10" t="s">
        <v>120</v>
      </c>
      <c r="AI28" s="10" t="s">
        <v>12</v>
      </c>
      <c r="AJ28" s="10" t="s">
        <v>130</v>
      </c>
      <c r="AK28" s="4" t="str">
        <f>IF(AD28="LEEG","LEEG",IF(TYPE(AD28)=2,IF(LEN(AD28)=2,IF(AND($AI$11=0,AH29="DUBBEL"),"ONGELDIG","GOED"),"ONGELDIG"),"ONGELDIG"))</f>
        <v>LEEG</v>
      </c>
      <c r="AL28" s="4" t="str">
        <f>IF(AF28="LEEG","LEEG",IF(TYPE(AF28)=2,IF(LEN(AF28)=2,IF(AND($AI$11=0,AJ29="DUBBEL"),"ONGELDIG","GOED"),"ONGELDIG"),"ONGELDIG"))</f>
        <v>LEEG</v>
      </c>
      <c r="AM28" s="4" t="str">
        <f>IF(ISBLANK(W28),"LEEG",IF(TYPE(W28)=1,IF(AND(W28&lt;10,W28&gt;=0),IF(W28=ROUND(W28,0),"GOED","ONGELDIG"),"ONGELDIG"),"ONGELDIG"))</f>
        <v>LEEG</v>
      </c>
      <c r="AN28" s="4" t="str">
        <f>IF(ISBLANK(Y28),"LEEG",IF(TYPE(Y28)=1,IF(AND(Y28&lt;10,Y28&gt;=0),IF(Y28=ROUND(Y28,0),"GOED","ONGELDIG"),"ONGELDIG"),"ONGELDIG"))</f>
        <v>LEEG</v>
      </c>
      <c r="AO28" s="138" t="str">
        <f>IF(AK28="GOED",IF(AL28="GOED",IF(AM28="GOED",IF(AN28="GOED",AD28&amp;AF28&amp;W28&amp;Y28&amp;"|","FOUT"),"FOUT"),"FOUT"),"FOUT")</f>
        <v>FOUT</v>
      </c>
      <c r="AP28" s="91">
        <f>LEN(AO28)</f>
        <v>4</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v>
      </c>
      <c r="H29" s="1211"/>
      <c r="I29" s="1211"/>
      <c r="J29" s="1211"/>
      <c r="K29" s="1211"/>
      <c r="L29" s="1211"/>
      <c r="M29" s="16"/>
      <c r="N29" s="16"/>
      <c r="O29" s="1211" t="str">
        <f ca="1">IF($AB$9=1," "&amp;AE29,IF($AB$9=2,IF(AE28="OO"," "&amp;AE29,""),""))</f>
        <v xml:space="preserve"> </v>
      </c>
      <c r="P29" s="1211"/>
      <c r="Q29" s="1211"/>
      <c r="R29" s="1211"/>
      <c r="S29" s="1211"/>
      <c r="T29" s="1211"/>
      <c r="U29" s="1211"/>
      <c r="V29" s="17"/>
      <c r="W29" s="17"/>
      <c r="X29" s="17"/>
      <c r="Y29" s="17"/>
      <c r="Z29" s="958"/>
      <c r="AA29" s="17"/>
      <c r="AB29" s="850"/>
      <c r="AC29" s="1193" t="str">
        <f ca="1">AM93</f>
        <v/>
      </c>
      <c r="AD29" s="1193"/>
      <c r="AE29" s="1193" t="str">
        <f ca="1">AO93</f>
        <v/>
      </c>
      <c r="AF29" s="1193"/>
      <c r="AG29" s="716" t="str">
        <f>IF(AO28="FOUT","",IF(W28&gt;Y28,AC28,IF(W28&lt;Y28,AE28,AC28&amp;AE28)))</f>
        <v/>
      </c>
      <c r="AH29" s="415" t="str">
        <f>IF(AD28="LEEG","LEEG",IF(AD28= "FOUT","ONGELDIG",IF(LEN(SUBSTITUTE(SUBSTITUTE("|"&amp;$AD$14&amp;"|"&amp;$AF$14&amp;"|"&amp;$AD$16&amp;"|"&amp;$AF$16&amp;"|"&amp;$AD$18&amp;"|"&amp;$AF$18&amp;"|"&amp;$AD$20&amp;"|"&amp;$AF$20&amp;"|"&amp;$AD$22&amp;"|"&amp;$AF$22&amp;"|"&amp;$AD$24&amp;"|"&amp;$AF$24&amp;"|"&amp;$AD$26&amp;"|"&amp;$AF$26&amp;"|"&amp;$AD$28&amp;"|"&amp;$AF$28&amp;"|","LEEG","##"),AD28,"CONTROLE"))=$AJ$30,"GOED","DUBBEL")))</f>
        <v>LEEG</v>
      </c>
      <c r="AI29" s="5"/>
      <c r="AJ29" s="415" t="str">
        <f>IF(AF28="LEEG","LEEG",IF(AF28= "FOUT","ONGELDIG",IF(LEN(SUBSTITUTE(SUBSTITUTE("|"&amp;$AD$14&amp;"|"&amp;$AF$14&amp;"|"&amp;$AD$16&amp;"|"&amp;$AF$16&amp;"|"&amp;$AD$18&amp;"|"&amp;$AF$18&amp;"|"&amp;$AD$20&amp;"|"&amp;$AF$20&amp;"|"&amp;$AD$22&amp;"|"&amp;$AF$22&amp;"|"&amp;$AD$24&amp;"|"&amp;$AF$24&amp;"|"&amp;$AD$26&amp;"|"&amp;$AF$26&amp;"|"&amp;$AD$28&amp;"|"&amp;$AF$28&amp;"|","LEEG","##"),AF28,"CONTROLE"))=$AJ$30,"GOED","DUBBEL")))</f>
        <v>LEEG</v>
      </c>
      <c r="AK29" s="141"/>
      <c r="AL29" s="141"/>
      <c r="AM29" s="141"/>
      <c r="AN29" s="141"/>
      <c r="AO29" s="141"/>
      <c r="AP29" s="91"/>
      <c r="AQ29" s="291" t="str">
        <f ca="1">VLOOKUP(AR29,Voorblad!$X$67:$Z$98,2,FALSE)</f>
        <v>Polen</v>
      </c>
      <c r="AR29" s="292" t="str">
        <f>AR28&amp;1</f>
        <v>D1</v>
      </c>
      <c r="AS29" s="684" t="str">
        <f ca="1">IF(AT29=$AR$11,$AQ$11,IF(AT29=$AR$12,$AQ$12,VLOOKUP(AT29,Voorblad!$X$67:$Z$98,2,FALSE)))</f>
        <v>Albanië</v>
      </c>
      <c r="AT29" s="685" t="str">
        <f t="shared" ref="AT29:AT49" ca="1" si="5">RIGHT(LEFT($AK$96,$BA29),2)</f>
        <v>B4</v>
      </c>
      <c r="AU29" s="684" t="str">
        <f ca="1">IF(AV29=$AR$11,$AQ$11,IF(AV29=$AR$12,$AQ$12,VLOOKUP(AV29,Voorblad!$X$67:$Z$98,2,FALSE)))</f>
        <v>Denemarken</v>
      </c>
      <c r="AV29" s="685" t="str">
        <f ca="1">RIGHT(LEFT($AL$96,$BA29),2)</f>
        <v>C2</v>
      </c>
      <c r="AW29" s="684" t="str">
        <f ca="1">IF(AX29=$AR$11,$AQ$11,IF(AX29=$AR$12,$AQ$12,VLOOKUP(AX29,Voorblad!$X$67:$Z$98,2,FALSE)))</f>
        <v>Albanië</v>
      </c>
      <c r="AX29" s="685" t="str">
        <f ca="1">RIGHT(LEFT($AK$97,$BA29),2)</f>
        <v>B4</v>
      </c>
      <c r="AY29" s="684" t="str">
        <f ca="1">IF(AZ29=$AR$11,$AQ$11,IF(AZ29=$AR$12,$AQ$12,VLOOKUP(AZ29,Voorblad!$X$67:$Z$98,2,FALSE)))</f>
        <v>België</v>
      </c>
      <c r="AZ29" s="685" t="str">
        <f ca="1">RIGHT(LEFT($AL$97,$BA29),2)</f>
        <v>E1</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België</v>
      </c>
      <c r="AT30" s="685" t="str">
        <f t="shared" ca="1" si="5"/>
        <v>E1</v>
      </c>
      <c r="AU30" s="684" t="str">
        <f ca="1">IF(AV30=$AR$11,$AQ$11,IF(AV30=$AR$12,$AQ$12,VLOOKUP(AV30,Voorblad!$X$67:$Z$98,2,FALSE)))</f>
        <v>Duitsland</v>
      </c>
      <c r="AV30" s="685" t="str">
        <f t="shared" ref="AV30:AV49" ca="1" si="6">RIGHT(LEFT($AL$96,$BA30),2)</f>
        <v>A1</v>
      </c>
      <c r="AW30" s="684" t="str">
        <f ca="1">IF(AX30=$AR$11,$AQ$11,IF(AX30=$AR$12,$AQ$12,VLOOKUP(AX30,Voorblad!$X$67:$Z$98,2,FALSE)))</f>
        <v>Denemarken</v>
      </c>
      <c r="AX30" s="685" t="str">
        <f t="shared" ref="AX30:AX49" ca="1" si="7">RIGHT(LEFT($AK$97,$BA30),2)</f>
        <v>C2</v>
      </c>
      <c r="AY30" s="684" t="str">
        <f ca="1">IF(AZ30=$AR$11,$AQ$11,IF(AZ30=$AR$12,$AQ$12,VLOOKUP(AZ30,Voorblad!$X$67:$Z$98,2,FALSE)))</f>
        <v>Frankrijk</v>
      </c>
      <c r="AZ30" s="685" t="str">
        <f t="shared" ref="AZ30:AZ49" ca="1" si="8">RIGHT(LEFT($AL$97,$BA30),2)</f>
        <v>D4</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Duitsland</v>
      </c>
      <c r="AT31" s="685" t="str">
        <f t="shared" ca="1" si="5"/>
        <v>A1</v>
      </c>
      <c r="AU31" s="684" t="str">
        <f ca="1">IF(AV31=$AR$11,$AQ$11,IF(AV31=$AR$12,$AQ$12,VLOOKUP(AV31,Voorblad!$X$67:$Z$98,2,FALSE)))</f>
        <v>Engeland</v>
      </c>
      <c r="AV31" s="685" t="str">
        <f t="shared" ca="1" si="6"/>
        <v>C4</v>
      </c>
      <c r="AW31" s="684" t="str">
        <f ca="1">IF(AX31=$AR$11,$AQ$11,IF(AX31=$AR$12,$AQ$12,VLOOKUP(AX31,Voorblad!$X$67:$Z$98,2,FALSE)))</f>
        <v>Duitsland</v>
      </c>
      <c r="AX31" s="685" t="str">
        <f t="shared" ca="1" si="7"/>
        <v>A1</v>
      </c>
      <c r="AY31" s="684" t="str">
        <f ca="1">IF(AZ31=$AR$11,$AQ$11,IF(AZ31=$AR$12,$AQ$12,VLOOKUP(AZ31,Voorblad!$X$67:$Z$98,2,FALSE)))</f>
        <v>Nederland</v>
      </c>
      <c r="AZ31" s="685" t="str">
        <f t="shared" ca="1" si="8"/>
        <v>D2</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Frankrijk</v>
      </c>
      <c r="AT32" s="685" t="str">
        <f t="shared" ca="1" si="5"/>
        <v>D4</v>
      </c>
      <c r="AU32" s="684" t="str">
        <f ca="1">IF(AV32=$AR$11,$AQ$11,IF(AV32=$AR$12,$AQ$12,VLOOKUP(AV32,Voorblad!$X$67:$Z$98,2,FALSE)))</f>
        <v>Hongarije</v>
      </c>
      <c r="AV32" s="685" t="str">
        <f t="shared" ca="1" si="6"/>
        <v>A3</v>
      </c>
      <c r="AW32" s="684" t="str">
        <f ca="1">IF(AX32=$AR$11,$AQ$11,IF(AX32=$AR$12,$AQ$12,VLOOKUP(AX32,Voorblad!$X$67:$Z$98,2,FALSE)))</f>
        <v>Engeland</v>
      </c>
      <c r="AX32" s="685" t="str">
        <f t="shared" ca="1" si="7"/>
        <v>C4</v>
      </c>
      <c r="AY32" s="684" t="str">
        <f ca="1">IF(AZ32=$AR$11,$AQ$11,IF(AZ32=$AR$12,$AQ$12,VLOOKUP(AZ32,Voorblad!$X$67:$Z$98,2,FALSE)))</f>
        <v>Oekraïne</v>
      </c>
      <c r="AZ32" s="685" t="str">
        <f t="shared" ca="1" si="8"/>
        <v>E4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Georgië</v>
      </c>
      <c r="AT33" s="685" t="str">
        <f t="shared" ca="1" si="5"/>
        <v>F2</v>
      </c>
      <c r="AU33" s="684" t="str">
        <f ca="1">IF(AV33=$AR$11,$AQ$11,IF(AV33=$AR$12,$AQ$12,VLOOKUP(AV33,Voorblad!$X$67:$Z$98,2,FALSE)))</f>
        <v>Schotland</v>
      </c>
      <c r="AV33" s="685" t="str">
        <f t="shared" ca="1" si="6"/>
        <v>A2</v>
      </c>
      <c r="AW33" s="684" t="str">
        <f ca="1">IF(AX33=$AR$11,$AQ$11,IF(AX33=$AR$12,$AQ$12,VLOOKUP(AX33,Voorblad!$X$67:$Z$98,2,FALSE)))</f>
        <v>Georgië</v>
      </c>
      <c r="AX33" s="685" t="str">
        <f t="shared" ca="1" si="7"/>
        <v>F2</v>
      </c>
      <c r="AY33" s="684" t="str">
        <f ca="1">IF(AZ33=$AR$11,$AQ$11,IF(AZ33=$AR$12,$AQ$12,VLOOKUP(AZ33,Voorblad!$X$67:$Z$98,2,FALSE)))</f>
        <v>Oostenrijk</v>
      </c>
      <c r="AZ33" s="685" t="str">
        <f t="shared" ca="1" si="8"/>
        <v>D3</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Hongarije</v>
      </c>
      <c r="AT34" s="685" t="str">
        <f t="shared" ca="1" si="5"/>
        <v>A3</v>
      </c>
      <c r="AU34" s="684" t="str">
        <f ca="1">IF(AV34=$AR$11,$AQ$11,IF(AV34=$AR$12,$AQ$12,VLOOKUP(AV34,Voorblad!$X$67:$Z$98,2,FALSE)))</f>
        <v>Servië</v>
      </c>
      <c r="AV34" s="685" t="str">
        <f t="shared" ca="1" si="6"/>
        <v>C3</v>
      </c>
      <c r="AW34" s="684" t="str">
        <f ca="1">IF(AX34=$AR$11,$AQ$11,IF(AX34=$AR$12,$AQ$12,VLOOKUP(AX34,Voorblad!$X$67:$Z$98,2,FALSE)))</f>
        <v>Hongarije</v>
      </c>
      <c r="AX34" s="685" t="str">
        <f t="shared" ca="1" si="7"/>
        <v>A3</v>
      </c>
      <c r="AY34" s="684" t="str">
        <f ca="1">IF(AZ34=$AR$11,$AQ$11,IF(AZ34=$AR$12,$AQ$12,VLOOKUP(AZ34,Voorblad!$X$67:$Z$98,2,FALSE)))</f>
        <v>Polen</v>
      </c>
      <c r="AZ34" s="685" t="str">
        <f t="shared" ca="1" si="8"/>
        <v>D1</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Italië</v>
      </c>
      <c r="AT35" s="685" t="str">
        <f t="shared" ca="1" si="5"/>
        <v>B3</v>
      </c>
      <c r="AU35" s="684" t="str">
        <f ca="1">IF(AV35=$AR$11,$AQ$11,IF(AV35=$AR$12,$AQ$12,VLOOKUP(AV35,Voorblad!$X$67:$Z$98,2,FALSE)))</f>
        <v>Slovenië</v>
      </c>
      <c r="AV35" s="685" t="str">
        <f t="shared" ca="1" si="6"/>
        <v>C1</v>
      </c>
      <c r="AW35" s="684" t="str">
        <f ca="1">IF(AX35=$AR$11,$AQ$11,IF(AX35=$AR$12,$AQ$12,VLOOKUP(AX35,Voorblad!$X$67:$Z$98,2,FALSE)))</f>
        <v>Italië</v>
      </c>
      <c r="AX35" s="685" t="str">
        <f t="shared" ca="1" si="7"/>
        <v>B3</v>
      </c>
      <c r="AY35" s="684" t="str">
        <f ca="1">IF(AZ35=$AR$11,$AQ$11,IF(AZ35=$AR$12,$AQ$12,VLOOKUP(AZ35,Voorblad!$X$67:$Z$98,2,FALSE)))</f>
        <v>Roemenië</v>
      </c>
      <c r="AZ35" s="685" t="str">
        <f t="shared" ca="1" si="8"/>
        <v>E3</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c r="M36" s="665"/>
      <c r="N36" s="666" t="str">
        <f>IF(AK36="LEEG","▼   ","")&amp;"-  "</f>
        <v xml:space="preserve">▼   -  </v>
      </c>
      <c r="O36" s="1192" t="str">
        <f ca="1">" "&amp;Taal04!$B$77&amp;" "&amp;D16</f>
        <v xml:space="preserve"> Win. Wedstrijd 37</v>
      </c>
      <c r="P36" s="1192"/>
      <c r="Q36" s="1192"/>
      <c r="R36" s="1192"/>
      <c r="S36" s="1192"/>
      <c r="T36" s="1192"/>
      <c r="U36" s="667"/>
      <c r="V36" s="666" t="str">
        <f>IF(AL36="LEEG","▼   ","")&amp;": "</f>
        <v xml:space="preserve">▼   : </v>
      </c>
      <c r="W36" s="738"/>
      <c r="X36" s="940" t="s">
        <v>12</v>
      </c>
      <c r="Y36" s="738"/>
      <c r="Z36" s="963"/>
      <c r="AA36" s="411"/>
      <c r="AB36" s="851">
        <f>IF(AND(AM36="GOED",AN36="GOED"),W36+Y36,0)</f>
        <v>0</v>
      </c>
      <c r="AC36" s="271" t="str">
        <f>IF(OR(L36="",ISBLANK(L36),L36=$AQ$11),"OO",IF(TYPE(VLOOKUP(L36,Taal02!$C$100:$D$419,2,FALSE))=16,"XX",VLOOKUP(L36,Taal02!$C$100:$D$419,2,FALSE)))</f>
        <v>OO</v>
      </c>
      <c r="AD36" s="235" t="str">
        <f>IF(AC36="OO","LEEG",IF(AC36="XX","FOUT",VLOOKUP(AC36,Voorblad!$X$65:$Z$98,3,FALSE)))</f>
        <v>LEEG</v>
      </c>
      <c r="AE36" s="271" t="str">
        <f>IF(OR(U36="",ISBLANK(U36),U36=$AQ$11),"OO",IF(TYPE(VLOOKUP(U36,Taal02!$C$100:$D$419,2,FALSE))=16,"XX",VLOOKUP(U36,Taal02!$C$100:$D$419,2,FALSE)))</f>
        <v>OO</v>
      </c>
      <c r="AF36" s="235" t="str">
        <f>IF(AE36="OO","LEEG",IF(AE36="XX","FOUT",VLOOKUP(AE36,Voorblad!$X$65:$Z$98,3,FALSE)))</f>
        <v>LEEG</v>
      </c>
      <c r="AG36" s="5"/>
      <c r="AH36" s="363" t="s">
        <v>2308</v>
      </c>
      <c r="AI36" s="10" t="s">
        <v>12</v>
      </c>
      <c r="AJ36" s="363" t="s">
        <v>2309</v>
      </c>
      <c r="AK36" s="4" t="str">
        <f>IF(AD36="LEEG","LEEG",IF(TYPE(AD36)=2,IF(LEN(AD36)=2,IF(AND($AI$11=0,AH37="DUBBEL"),"ONGELDIG","GOED"),"ONGELDIG"),"ONGELDIG"))</f>
        <v>LEEG</v>
      </c>
      <c r="AL36" s="4" t="str">
        <f>IF(AF36="LEEG","LEEG",IF(TYPE(AF36)=2,IF(LEN(AF36)=2,IF(AND($AI$11=0,AJ37="DUBBEL"),"ONGELDIG","GOED"),"ONGELDIG"),"ONGELDIG"))</f>
        <v>LEEG</v>
      </c>
      <c r="AM36" s="4" t="str">
        <f>IF(ISBLANK(W36),"LEEG",IF(TYPE(W36)=1,IF(AND(W36&lt;10,W36&gt;=0),IF(W36=ROUND(W36,0),"GOED","ONGELDIG"),"ONGELDIG"),"ONGELDIG"))</f>
        <v>LEEG</v>
      </c>
      <c r="AN36" s="4" t="str">
        <f>IF(ISBLANK(Y36),"LEEG",IF(TYPE(Y36)=1,IF(AND(Y36&lt;10,Y36&gt;=0),IF(Y36=ROUND(Y36,0),"GOED","ONGELDIG"),"ONGELDIG"),"ONGELDIG"))</f>
        <v>LEEG</v>
      </c>
      <c r="AO36" s="138" t="str">
        <f>IF(AK36="GOED",IF(AL36="GOED",IF(AM36="GOED",IF(AN36="GOED",AD36&amp;AF36&amp;W36&amp;Y36&amp;"|","FOUT"),"FOUT"),"FOUT"),"FOUT")</f>
        <v>FOUT</v>
      </c>
      <c r="AP36" s="91">
        <f>LEN(AO36)</f>
        <v>4</v>
      </c>
      <c r="AQ36" s="291" t="str">
        <f ca="1">VLOOKUP(AR36,Voorblad!$X$67:$Z$98,2,FALSE)</f>
        <v>Roemenië</v>
      </c>
      <c r="AR36" s="292" t="str">
        <f>AR33&amp;3</f>
        <v>E3</v>
      </c>
      <c r="AS36" s="684" t="str">
        <f ca="1">IF(AT36=$AR$11,$AQ$11,IF(AT36=$AR$12,$AQ$12,VLOOKUP(AT36,Voorblad!$X$67:$Z$98,2,FALSE)))</f>
        <v>Kroatië</v>
      </c>
      <c r="AT36" s="685" t="str">
        <f t="shared" ca="1" si="5"/>
        <v>B2</v>
      </c>
      <c r="AU36" s="684" t="str">
        <f ca="1">IF(AV36=$AR$11,$AQ$11,IF(AV36=$AR$12,$AQ$12,VLOOKUP(AV36,Voorblad!$X$67:$Z$98,2,FALSE)))</f>
        <v>Zwitserland</v>
      </c>
      <c r="AV36" s="685" t="str">
        <f t="shared" ca="1" si="6"/>
        <v>A4</v>
      </c>
      <c r="AW36" s="684" t="str">
        <f ca="1">IF(AX36=$AR$11,$AQ$11,IF(AX36=$AR$12,$AQ$12,VLOOKUP(AX36,Voorblad!$X$67:$Z$98,2,FALSE)))</f>
        <v>Kroatië</v>
      </c>
      <c r="AX36" s="685" t="str">
        <f t="shared" ca="1" si="7"/>
        <v>B2</v>
      </c>
      <c r="AY36" s="684" t="str">
        <f ca="1">IF(AZ36=$AR$11,$AQ$11,IF(AZ36=$AR$12,$AQ$12,VLOOKUP(AZ36,Voorblad!$X$67:$Z$98,2,FALSE)))</f>
        <v>Slowakije</v>
      </c>
      <c r="AZ36" s="685" t="str">
        <f t="shared" ca="1" si="8"/>
        <v>E2</v>
      </c>
      <c r="BA36" s="688">
        <f t="shared" si="9"/>
        <v>16</v>
      </c>
    </row>
    <row r="37" spans="1:56" ht="18.95" customHeight="1" x14ac:dyDescent="0.25">
      <c r="A37" s="173"/>
      <c r="B37" s="17"/>
      <c r="C37" s="949"/>
      <c r="D37" s="17"/>
      <c r="E37" s="17"/>
      <c r="F37" s="17"/>
      <c r="G37" s="1211" t="str">
        <f ca="1">IF($AB$9=1," "&amp;AC37,IF($AB$9=2,IF(AC36="OO"," "&amp;AC37,""),""))</f>
        <v xml:space="preserve"> </v>
      </c>
      <c r="H37" s="1211"/>
      <c r="I37" s="1211"/>
      <c r="J37" s="1211"/>
      <c r="K37" s="1211"/>
      <c r="L37" s="1211"/>
      <c r="M37" s="16"/>
      <c r="N37" s="16"/>
      <c r="O37" s="1211" t="str">
        <f ca="1">IF($AB$9=1," "&amp;AE37,IF($AB$9=2,IF(AE36="OO"," "&amp;AE37,""),""))</f>
        <v xml:space="preserve"> </v>
      </c>
      <c r="P37" s="1211"/>
      <c r="Q37" s="1211"/>
      <c r="R37" s="1211"/>
      <c r="S37" s="1211"/>
      <c r="T37" s="1211"/>
      <c r="U37" s="1211"/>
      <c r="V37" s="17"/>
      <c r="W37" s="17"/>
      <c r="X37" s="262"/>
      <c r="Y37" s="17"/>
      <c r="Z37" s="60"/>
      <c r="AA37" s="17"/>
      <c r="AB37" s="850"/>
      <c r="AC37" s="1193" t="str">
        <f ca="1">AM96</f>
        <v/>
      </c>
      <c r="AD37" s="1193"/>
      <c r="AE37" s="1193" t="str">
        <f ca="1">AO96</f>
        <v/>
      </c>
      <c r="AF37" s="1193"/>
      <c r="AG37" s="716" t="str">
        <f>IF(AO36="FOUT","",IF(W36&gt;Y36,AC36,IF(W36&lt;Y36,AE36,AC36&amp;AE36)))</f>
        <v/>
      </c>
      <c r="AH37" s="415" t="str">
        <f>IF(AD36="LEEG","LEEG",IF(AD36= "FOUT","ONGELDIG",IF(LEN(SUBSTITUTE(SUBSTITUTE("|"&amp;$AD$36&amp;"|"&amp;$AF$36&amp;"|"&amp;$AD$38&amp;"|"&amp;$AF$38&amp;"|"&amp;$AD$40&amp;"|"&amp;$AF$40&amp;"|"&amp;$AD$42&amp;"|"&amp;$AF$42&amp;"|","LEEG","##"),AD36,"CONTROLE"))=$AJ$44,"GOED","DUBBEL")))</f>
        <v>LEEG</v>
      </c>
      <c r="AI37" s="5"/>
      <c r="AJ37" s="415" t="str">
        <f>IF(AF36="LEEG","LEEG",IF(AF36= "FOUT","ONGELDIG",IF(LEN(SUBSTITUTE(SUBSTITUTE("|"&amp;$AD$36&amp;"|"&amp;$AF$36&amp;"|"&amp;$AD$38&amp;"|"&amp;$AF$38&amp;"|"&amp;$AD$40&amp;"|"&amp;$AF$40&amp;"|"&amp;$AD$42&amp;"|"&amp;$AF$42&amp;"|","LEEG","##"),AF36,"CONTROLE"))=$AJ$44,"GOED","DUBBEL")))</f>
        <v>LEEG</v>
      </c>
      <c r="AK37" s="4"/>
      <c r="AL37" s="4"/>
      <c r="AM37" s="4"/>
      <c r="AN37" s="4"/>
      <c r="AO37" s="138"/>
      <c r="AP37" s="91"/>
      <c r="AQ37" s="293" t="str">
        <f ca="1">VLOOKUP(AR37,Voorblad!$X$67:$Z$98,2,FALSE)</f>
        <v>Oekraïne</v>
      </c>
      <c r="AR37" s="295" t="str">
        <f>AR33&amp;4</f>
        <v>E4</v>
      </c>
      <c r="AS37" s="684" t="str">
        <f ca="1">IF(AT37=$AR$11,$AQ$11,IF(AT37=$AR$12,$AQ$12,VLOOKUP(AT37,Voorblad!$X$67:$Z$98,2,FALSE)))</f>
        <v>Nederland</v>
      </c>
      <c r="AT37" s="685" t="str">
        <f t="shared" ca="1" si="5"/>
        <v>D2</v>
      </c>
      <c r="AU37" s="684" t="str">
        <f ca="1">IF(AV37=$AR$11,$AQ$11,IF(AV37=$AR$12,$AQ$12,VLOOKUP(AV37,Voorblad!$X$67:$Z$98,2,FALSE)))</f>
        <v/>
      </c>
      <c r="AV37" s="685" t="str">
        <f t="shared" ca="1" si="6"/>
        <v>??</v>
      </c>
      <c r="AW37" s="684" t="str">
        <f ca="1">IF(AX37=$AR$11,$AQ$11,IF(AX37=$AR$12,$AQ$12,VLOOKUP(AX37,Voorblad!$X$67:$Z$98,2,FALSE)))</f>
        <v>Portugal</v>
      </c>
      <c r="AX37" s="685" t="str">
        <f t="shared" ca="1" si="7"/>
        <v>F3</v>
      </c>
      <c r="AY37" s="684" t="str">
        <f ca="1">IF(AZ37=$AR$11,$AQ$11,IF(AZ37=$AR$12,$AQ$12,VLOOKUP(AZ37,Voorblad!$X$67:$Z$98,2,FALSE)))</f>
        <v/>
      </c>
      <c r="AZ37" s="685" t="str">
        <f t="shared" ca="1" si="8"/>
        <v>??</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c r="M38" s="665"/>
      <c r="N38" s="666" t="str">
        <f>IF(AK38="LEEG","▼   ","")&amp;"-  "</f>
        <v xml:space="preserve">▼   -  </v>
      </c>
      <c r="O38" s="1192" t="str">
        <f ca="1">" "&amp;Taal04!$B$77&amp;" "&amp;D22</f>
        <v xml:space="preserve"> Win. Wedstrijd 42</v>
      </c>
      <c r="P38" s="1192"/>
      <c r="Q38" s="1192"/>
      <c r="R38" s="1192"/>
      <c r="S38" s="1192"/>
      <c r="T38" s="1192"/>
      <c r="U38" s="667"/>
      <c r="V38" s="666" t="str">
        <f>IF(AL38="LEEG","▼   ","")&amp;": "</f>
        <v xml:space="preserve">▼   : </v>
      </c>
      <c r="W38" s="738"/>
      <c r="X38" s="940" t="s">
        <v>12</v>
      </c>
      <c r="Y38" s="738"/>
      <c r="Z38" s="963"/>
      <c r="AA38" s="411"/>
      <c r="AB38" s="851">
        <f>IF(AND(AM38="GOED",AN38="GOED"),W38+Y38,0)</f>
        <v>0</v>
      </c>
      <c r="AC38" s="271" t="str">
        <f>IF(OR(L38="",ISBLANK(L38),L38=$AQ$11),"OO",IF(TYPE(VLOOKUP(L38,Taal02!$C$100:$D$419,2,FALSE))=16,"XX",VLOOKUP(L38,Taal02!$C$100:$D$419,2,FALSE)))</f>
        <v>OO</v>
      </c>
      <c r="AD38" s="235" t="str">
        <f>IF(AC38="OO","LEEG",IF(AC38="XX","FOUT",VLOOKUP(AC38,Voorblad!$X$65:$Z$98,3,FALSE)))</f>
        <v>LEEG</v>
      </c>
      <c r="AE38" s="271" t="str">
        <f>IF(OR(U38="",ISBLANK(U38),U38=$AQ$11),"OO",IF(TYPE(VLOOKUP(U38,Taal02!$C$100:$D$419,2,FALSE))=16,"XX",VLOOKUP(U38,Taal02!$C$100:$D$419,2,FALSE)))</f>
        <v>OO</v>
      </c>
      <c r="AF38" s="235" t="str">
        <f>IF(AE38="OO","LEEG",IF(AE38="XX","FOUT",VLOOKUP(AE38,Voorblad!$X$65:$Z$98,3,FALSE)))</f>
        <v>LEEG</v>
      </c>
      <c r="AG38" s="5"/>
      <c r="AH38" s="363" t="s">
        <v>2312</v>
      </c>
      <c r="AI38" s="10" t="s">
        <v>12</v>
      </c>
      <c r="AJ38" s="363" t="s">
        <v>6</v>
      </c>
      <c r="AK38" s="4" t="str">
        <f>IF(AD38="LEEG","LEEG",IF(TYPE(AD38)=2,IF(LEN(AD38)=2,IF(AND($AI$11=0,AH39="DUBBEL"),"ONGELDIG","GOED"),"ONGELDIG"),"ONGELDIG"))</f>
        <v>LEEG</v>
      </c>
      <c r="AL38" s="4" t="str">
        <f>IF(AF38="LEEG","LEEG",IF(TYPE(AF38)=2,IF(LEN(AF38)=2,IF(AND($AI$11=0,AJ39="DUBBEL"),"ONGELDIG","GOED"),"ONGELDIG"),"ONGELDIG"))</f>
        <v>LEEG</v>
      </c>
      <c r="AM38" s="4" t="str">
        <f>IF(ISBLANK(W38),"LEEG",IF(TYPE(W38)=1,IF(AND(W38&lt;10,W38&gt;=0),IF(W38=ROUND(W38,0),"GOED","ONGELDIG"),"ONGELDIG"),"ONGELDIG"))</f>
        <v>LEEG</v>
      </c>
      <c r="AN38" s="4" t="str">
        <f>IF(ISBLANK(Y38),"LEEG",IF(TYPE(Y38)=1,IF(AND(Y38&lt;10,Y38&gt;=0),IF(Y38=ROUND(Y38,0),"GOED","ONGELDIG"),"ONGELDIG"),"ONGELDIG"))</f>
        <v>LEEG</v>
      </c>
      <c r="AO38" s="138" t="str">
        <f>IF(AK38="GOED",IF(AL38="GOED",IF(AM38="GOED",IF(AN38="GOED",AD38&amp;AF38&amp;W38&amp;Y38&amp;"|","FOUT"),"FOUT"),"FOUT"),"FOUT")</f>
        <v>FOUT</v>
      </c>
      <c r="AP38" s="91">
        <f>LEN(AO38)</f>
        <v>4</v>
      </c>
      <c r="AQ38" s="287"/>
      <c r="AR38" s="289" t="s">
        <v>168</v>
      </c>
      <c r="AS38" s="684" t="str">
        <f ca="1">IF(AT38=$AR$11,$AQ$11,IF(AT38=$AR$12,$AQ$12,VLOOKUP(AT38,Voorblad!$X$67:$Z$98,2,FALSE)))</f>
        <v>Oekraïne</v>
      </c>
      <c r="AT38" s="685" t="str">
        <f t="shared" ca="1" si="5"/>
        <v>E4</v>
      </c>
      <c r="AU38" s="684" t="str">
        <f ca="1">IF(AV38=$AR$11,$AQ$11,IF(AV38=$AR$12,$AQ$12,VLOOKUP(AV38,Voorblad!$X$67:$Z$98,2,FALSE)))</f>
        <v/>
      </c>
      <c r="AV38" s="685" t="str">
        <f t="shared" ca="1" si="6"/>
        <v>??</v>
      </c>
      <c r="AW38" s="684" t="str">
        <f ca="1">IF(AX38=$AR$11,$AQ$11,IF(AX38=$AR$12,$AQ$12,VLOOKUP(AX38,Voorblad!$X$67:$Z$98,2,FALSE)))</f>
        <v>Schotland</v>
      </c>
      <c r="AX38" s="685" t="str">
        <f t="shared" ca="1" si="7"/>
        <v>A2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v>
      </c>
      <c r="H39" s="1211"/>
      <c r="I39" s="1211"/>
      <c r="J39" s="1211"/>
      <c r="K39" s="1211"/>
      <c r="L39" s="1211"/>
      <c r="M39" s="16"/>
      <c r="N39" s="16"/>
      <c r="O39" s="1211" t="str">
        <f ca="1">IF($AB$9=1," "&amp;AE39,IF($AB$9=2,IF(AE38="OO"," "&amp;AE39,""),""))</f>
        <v xml:space="preserve"> </v>
      </c>
      <c r="P39" s="1211"/>
      <c r="Q39" s="1211"/>
      <c r="R39" s="1211"/>
      <c r="S39" s="1211"/>
      <c r="T39" s="1211"/>
      <c r="U39" s="1211"/>
      <c r="V39" s="17"/>
      <c r="W39" s="17"/>
      <c r="X39" s="262"/>
      <c r="Y39" s="17"/>
      <c r="Z39" s="60"/>
      <c r="AA39" s="17"/>
      <c r="AB39" s="850"/>
      <c r="AC39" s="1193" t="str">
        <f ca="1">AM97</f>
        <v/>
      </c>
      <c r="AD39" s="1193"/>
      <c r="AE39" s="1193" t="str">
        <f ca="1">AO97</f>
        <v/>
      </c>
      <c r="AF39" s="1193"/>
      <c r="AG39" s="716" t="str">
        <f>IF(AO38="FOUT","",IF(W38&gt;Y38,AC38,IF(W38&lt;Y38,AE38,AC38&amp;AE38)))</f>
        <v/>
      </c>
      <c r="AH39" s="415" t="str">
        <f>IF(AD38="LEEG","LEEG",IF(AD38= "FOUT","ONGELDIG",IF(LEN(SUBSTITUTE(SUBSTITUTE("|"&amp;$AD$36&amp;"|"&amp;$AF$36&amp;"|"&amp;$AD$38&amp;"|"&amp;$AF$38&amp;"|"&amp;$AD$40&amp;"|"&amp;$AF$40&amp;"|"&amp;$AD$42&amp;"|"&amp;$AF$42&amp;"|","LEEG","##"),AD38,"CONTROLE"))=$AJ$44,"GOED","DUBBEL")))</f>
        <v>LEEG</v>
      </c>
      <c r="AI39" s="5"/>
      <c r="AJ39" s="415" t="str">
        <f>IF(AF38="LEEG","LEEG",IF(AF38= "FOUT","ONGELDIG",IF(LEN(SUBSTITUTE(SUBSTITUTE("|"&amp;$AD$36&amp;"|"&amp;$AF$36&amp;"|"&amp;$AD$38&amp;"|"&amp;$AF$38&amp;"|"&amp;$AD$40&amp;"|"&amp;$AF$40&amp;"|"&amp;$AD$42&amp;"|"&amp;$AF$42&amp;"|","LEEG","##"),AF38,"CONTROLE"))=$AJ$44,"GOED","DUBBEL")))</f>
        <v>LEEG</v>
      </c>
      <c r="AK39" s="4"/>
      <c r="AL39" s="4"/>
      <c r="AM39" s="4"/>
      <c r="AN39" s="4"/>
      <c r="AO39" s="138"/>
      <c r="AP39" s="91"/>
      <c r="AQ39" s="291" t="str">
        <f ca="1">VLOOKUP(AR39,Voorblad!$X$67:$Z$98,2,FALSE)</f>
        <v>Turkije</v>
      </c>
      <c r="AR39" s="292" t="str">
        <f>AR38&amp;1</f>
        <v>F1</v>
      </c>
      <c r="AS39" s="684" t="str">
        <f ca="1">IF(AT39=$AR$11,$AQ$11,IF(AT39=$AR$12,$AQ$12,VLOOKUP(AT39,Voorblad!$X$67:$Z$98,2,FALSE)))</f>
        <v>Oostenrijk</v>
      </c>
      <c r="AT39" s="685" t="str">
        <f t="shared" ca="1" si="5"/>
        <v>D3</v>
      </c>
      <c r="AU39" s="684" t="str">
        <f ca="1">IF(AV39=$AR$11,$AQ$11,IF(AV39=$AR$12,$AQ$12,VLOOKUP(AV39,Voorblad!$X$67:$Z$98,2,FALSE)))</f>
        <v/>
      </c>
      <c r="AV39" s="685" t="str">
        <f t="shared" ca="1" si="6"/>
        <v>??</v>
      </c>
      <c r="AW39" s="684" t="str">
        <f ca="1">IF(AX39=$AR$11,$AQ$11,IF(AX39=$AR$12,$AQ$12,VLOOKUP(AX39,Voorblad!$X$67:$Z$98,2,FALSE)))</f>
        <v>Servië</v>
      </c>
      <c r="AX39" s="685" t="str">
        <f t="shared" ca="1" si="7"/>
        <v>C3</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c r="M40" s="665"/>
      <c r="N40" s="666" t="str">
        <f>IF(AK40="LEEG","▼   ","")&amp;"-  "</f>
        <v xml:space="preserve">▼   -  </v>
      </c>
      <c r="O40" s="1192" t="str">
        <f ca="1">" "&amp;Taal04!$B$77&amp;" "&amp;D14</f>
        <v xml:space="preserve"> Win. Wedstrijd 38</v>
      </c>
      <c r="P40" s="1192"/>
      <c r="Q40" s="1192"/>
      <c r="R40" s="1192"/>
      <c r="S40" s="1192"/>
      <c r="T40" s="1192"/>
      <c r="U40" s="667"/>
      <c r="V40" s="666" t="str">
        <f>IF(AL40="LEEG","▼   ","")&amp;": "</f>
        <v xml:space="preserve">▼   : </v>
      </c>
      <c r="W40" s="738"/>
      <c r="X40" s="940" t="s">
        <v>12</v>
      </c>
      <c r="Y40" s="738"/>
      <c r="Z40" s="963"/>
      <c r="AA40" s="411"/>
      <c r="AB40" s="851">
        <f>IF(AND(AM40="GOED",AN40="GOED"),W40+Y40,0)</f>
        <v>0</v>
      </c>
      <c r="AC40" s="271" t="str">
        <f>IF(OR(L40="",ISBLANK(L40),L40=$AQ$11),"OO",IF(TYPE(VLOOKUP(L40,Taal02!$C$100:$D$419,2,FALSE))=16,"XX",VLOOKUP(L40,Taal02!$C$100:$D$419,2,FALSE)))</f>
        <v>OO</v>
      </c>
      <c r="AD40" s="235" t="str">
        <f>IF(AC40="OO","LEEG",IF(AC40="XX","FOUT",VLOOKUP(AC40,Voorblad!$X$65:$Z$98,3,FALSE)))</f>
        <v>LEEG</v>
      </c>
      <c r="AE40" s="271" t="str">
        <f>IF(OR(U40="",ISBLANK(U40),U40=$AQ$11),"OO",IF(TYPE(VLOOKUP(U40,Taal02!$C$100:$D$419,2,FALSE))=16,"XX",VLOOKUP(U40,Taal02!$C$100:$D$419,2,FALSE)))</f>
        <v>OO</v>
      </c>
      <c r="AF40" s="235" t="str">
        <f>IF(AE40="OO","LEEG",IF(AE40="XX","FOUT",VLOOKUP(AE40,Voorblad!$X$65:$Z$98,3,FALSE)))</f>
        <v>LEEG</v>
      </c>
      <c r="AG40" s="5"/>
      <c r="AH40" s="363" t="s">
        <v>2315</v>
      </c>
      <c r="AI40" s="10" t="s">
        <v>12</v>
      </c>
      <c r="AJ40" s="363" t="s">
        <v>459</v>
      </c>
      <c r="AK40" s="4" t="str">
        <f>IF(AD40="LEEG","LEEG",IF(TYPE(AD40)=2,IF(LEN(AD40)=2,IF(AND($AI$11=0,AH41="DUBBEL"),"ONGELDIG","GOED"),"ONGELDIG"),"ONGELDIG"))</f>
        <v>LEEG</v>
      </c>
      <c r="AL40" s="4" t="str">
        <f>IF(AF40="LEEG","LEEG",IF(TYPE(AF40)=2,IF(LEN(AF40)=2,IF(AND($AI$11=0,AJ41="DUBBEL"),"ONGELDIG","GOED"),"ONGELDIG"),"ONGELDIG"))</f>
        <v>LEEG</v>
      </c>
      <c r="AM40" s="4" t="str">
        <f>IF(ISBLANK(W40),"LEEG",IF(TYPE(W40)=1,IF(AND(W40&lt;10,W40&gt;=0),IF(W40=ROUND(W40,0),"GOED","ONGELDIG"),"ONGELDIG"),"ONGELDIG"))</f>
        <v>LEEG</v>
      </c>
      <c r="AN40" s="4" t="str">
        <f>IF(ISBLANK(Y40),"LEEG",IF(TYPE(Y40)=1,IF(AND(Y40&lt;10,Y40&gt;=0),IF(Y40=ROUND(Y40,0),"GOED","ONGELDIG"),"ONGELDIG"),"ONGELDIG"))</f>
        <v>LEEG</v>
      </c>
      <c r="AO40" s="138" t="str">
        <f>IF(AK40="GOED",IF(AL40="GOED",IF(AM40="GOED",IF(AN40="GOED",AD40&amp;AF40&amp;W40&amp;Y40&amp;"|","FOUT"),"FOUT"),"FOUT"),"FOUT")</f>
        <v>FOUT</v>
      </c>
      <c r="AP40" s="91">
        <f>LEN(AO40)</f>
        <v>4</v>
      </c>
      <c r="AQ40" s="291" t="str">
        <f ca="1">VLOOKUP(AR40,Voorblad!$X$67:$Z$98,2,FALSE)</f>
        <v>Georgië</v>
      </c>
      <c r="AR40" s="292" t="str">
        <f>AR38&amp;2</f>
        <v>F2</v>
      </c>
      <c r="AS40" s="684" t="str">
        <f ca="1">IF(AT40=$AR$11,$AQ$11,IF(AT40=$AR$12,$AQ$12,VLOOKUP(AT40,Voorblad!$X$67:$Z$98,2,FALSE)))</f>
        <v>Polen</v>
      </c>
      <c r="AT40" s="685" t="str">
        <f t="shared" ca="1" si="5"/>
        <v>D1</v>
      </c>
      <c r="AU40" s="684" t="str">
        <f ca="1">IF(AV40=$AR$11,$AQ$11,IF(AV40=$AR$12,$AQ$12,VLOOKUP(AV40,Voorblad!$X$67:$Z$98,2,FALSE)))</f>
        <v/>
      </c>
      <c r="AV40" s="685" t="str">
        <f t="shared" ca="1" si="6"/>
        <v>??</v>
      </c>
      <c r="AW40" s="684" t="str">
        <f ca="1">IF(AX40=$AR$11,$AQ$11,IF(AX40=$AR$12,$AQ$12,VLOOKUP(AX40,Voorblad!$X$67:$Z$98,2,FALSE)))</f>
        <v>Slovenië</v>
      </c>
      <c r="AX40" s="685" t="str">
        <f t="shared" ca="1" si="7"/>
        <v>C1</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v>
      </c>
      <c r="H41" s="1211"/>
      <c r="I41" s="1211"/>
      <c r="J41" s="1211"/>
      <c r="K41" s="1211"/>
      <c r="L41" s="1211"/>
      <c r="M41" s="16"/>
      <c r="N41" s="16"/>
      <c r="O41" s="1211" t="str">
        <f ca="1">IF($AB$9=1," "&amp;AE41,IF($AB$9=2,IF(AE40="OO"," "&amp;AE41,""),""))</f>
        <v xml:space="preserve"> </v>
      </c>
      <c r="P41" s="1211"/>
      <c r="Q41" s="1211"/>
      <c r="R41" s="1211"/>
      <c r="S41" s="1211"/>
      <c r="T41" s="1211"/>
      <c r="U41" s="1211"/>
      <c r="V41" s="17"/>
      <c r="W41" s="17"/>
      <c r="X41" s="262"/>
      <c r="Y41" s="17"/>
      <c r="Z41" s="60"/>
      <c r="AA41" s="17"/>
      <c r="AB41" s="850"/>
      <c r="AC41" s="1193" t="str">
        <f ca="1">AM98</f>
        <v/>
      </c>
      <c r="AD41" s="1193"/>
      <c r="AE41" s="1193" t="str">
        <f ca="1">AO98</f>
        <v/>
      </c>
      <c r="AF41" s="1193"/>
      <c r="AG41" s="716" t="str">
        <f>IF(AO40="FOUT","",IF(W40&gt;Y40,AC40,IF(W40&lt;Y40,AE40,AC40&amp;AE40)))</f>
        <v/>
      </c>
      <c r="AH41" s="415" t="str">
        <f>IF(AD40="LEEG","LEEG",IF(AD40= "FOUT","ONGELDIG",IF(LEN(SUBSTITUTE(SUBSTITUTE("|"&amp;$AD$36&amp;"|"&amp;$AF$36&amp;"|"&amp;$AD$38&amp;"|"&amp;$AF$38&amp;"|"&amp;$AD$40&amp;"|"&amp;$AF$40&amp;"|"&amp;$AD$42&amp;"|"&amp;$AF$42&amp;"|","LEEG","##"),AD40,"CONTROLE"))=$AJ$44,"GOED","DUBBEL")))</f>
        <v>LEEG</v>
      </c>
      <c r="AI41" s="5"/>
      <c r="AJ41" s="415" t="str">
        <f>IF(AF40="LEEG","LEEG",IF(AF40= "FOUT","ONGELDIG",IF(LEN(SUBSTITUTE(SUBSTITUTE("|"&amp;$AD$36&amp;"|"&amp;$AF$36&amp;"|"&amp;$AD$38&amp;"|"&amp;$AF$38&amp;"|"&amp;$AD$40&amp;"|"&amp;$AF$40&amp;"|"&amp;$AD$42&amp;"|"&amp;$AF$42&amp;"|","LEEG","##"),AF40,"CONTROLE"))=$AJ$44,"GOED","DUBBEL")))</f>
        <v>LEEG</v>
      </c>
      <c r="AK41" s="4"/>
      <c r="AL41" s="4"/>
      <c r="AM41" s="4"/>
      <c r="AN41" s="4"/>
      <c r="AO41" s="138"/>
      <c r="AP41" s="91"/>
      <c r="AQ41" s="291" t="str">
        <f ca="1">VLOOKUP(AR41,Voorblad!$X$67:$Z$98,2,FALSE)</f>
        <v>Portugal</v>
      </c>
      <c r="AR41" s="292" t="str">
        <f>AR38&amp;3</f>
        <v>F3</v>
      </c>
      <c r="AS41" s="684" t="str">
        <f ca="1">IF(AT41=$AR$11,$AQ$11,IF(AT41=$AR$12,$AQ$12,VLOOKUP(AT41,Voorblad!$X$67:$Z$98,2,FALSE)))</f>
        <v>Portugal</v>
      </c>
      <c r="AT41" s="685" t="str">
        <f t="shared" ca="1" si="5"/>
        <v>F3</v>
      </c>
      <c r="AU41" s="684" t="str">
        <f ca="1">IF(AV41=$AR$11,$AQ$11,IF(AV41=$AR$12,$AQ$12,VLOOKUP(AV41,Voorblad!$X$67:$Z$98,2,FALSE)))</f>
        <v/>
      </c>
      <c r="AV41" s="685" t="str">
        <f t="shared" ca="1" si="6"/>
        <v>??</v>
      </c>
      <c r="AW41" s="684" t="str">
        <f ca="1">IF(AX41=$AR$11,$AQ$11,IF(AX41=$AR$12,$AQ$12,VLOOKUP(AX41,Voorblad!$X$67:$Z$98,2,FALSE)))</f>
        <v>Spanje</v>
      </c>
      <c r="AX41" s="685" t="str">
        <f t="shared" ca="1" si="7"/>
        <v>B1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c r="M42" s="665"/>
      <c r="N42" s="666" t="str">
        <f>IF(AK42="LEEG","▼   ","")&amp;"-  "</f>
        <v xml:space="preserve">▼   -  </v>
      </c>
      <c r="O42" s="1192" t="str">
        <f ca="1">" "&amp;Taal04!$B$77&amp;" "&amp;D28</f>
        <v xml:space="preserve"> Win. Wedstrijd 44</v>
      </c>
      <c r="P42" s="1192"/>
      <c r="Q42" s="1192"/>
      <c r="R42" s="1192"/>
      <c r="S42" s="1192"/>
      <c r="T42" s="1192"/>
      <c r="U42" s="667"/>
      <c r="V42" s="666" t="str">
        <f>IF(AL42="LEEG","▼   ","")&amp;": "</f>
        <v xml:space="preserve">▼   : </v>
      </c>
      <c r="W42" s="738"/>
      <c r="X42" s="940" t="s">
        <v>12</v>
      </c>
      <c r="Y42" s="738"/>
      <c r="Z42" s="963"/>
      <c r="AA42" s="411"/>
      <c r="AB42" s="851">
        <f>IF(AND(AM42="GOED",AN42="GOED"),W42+Y42,0)</f>
        <v>0</v>
      </c>
      <c r="AC42" s="271" t="str">
        <f>IF(OR(L42="",ISBLANK(L42),L42=$AQ$11),"OO",IF(TYPE(VLOOKUP(L42,Taal02!$C$100:$D$419,2,FALSE))=16,"XX",VLOOKUP(L42,Taal02!$C$100:$D$419,2,FALSE)))</f>
        <v>OO</v>
      </c>
      <c r="AD42" s="235" t="str">
        <f>IF(AC42="OO","LEEG",IF(AC42="XX","FOUT",VLOOKUP(AC42,Voorblad!$X$65:$Z$98,3,FALSE)))</f>
        <v>LEEG</v>
      </c>
      <c r="AE42" s="271" t="str">
        <f>IF(OR(U42="",ISBLANK(U42),U42=$AQ$11),"OO",IF(TYPE(VLOOKUP(U42,Taal02!$C$100:$D$419,2,FALSE))=16,"XX",VLOOKUP(U42,Taal02!$C$100:$D$419,2,FALSE)))</f>
        <v>OO</v>
      </c>
      <c r="AF42" s="235" t="str">
        <f>IF(AE42="OO","LEEG",IF(AE42="XX","FOUT",VLOOKUP(AE42,Voorblad!$X$65:$Z$98,3,FALSE)))</f>
        <v>LEEG</v>
      </c>
      <c r="AG42" s="5"/>
      <c r="AH42" s="363" t="s">
        <v>2319</v>
      </c>
      <c r="AI42" s="10" t="s">
        <v>12</v>
      </c>
      <c r="AJ42" s="363" t="s">
        <v>2318</v>
      </c>
      <c r="AK42" s="4" t="str">
        <f>IF(AD42="LEEG","LEEG",IF(TYPE(AD42)=2,IF(LEN(AD42)=2,IF(AND($AI$11=0,AH43="DUBBEL"),"ONGELDIG","GOED"),"ONGELDIG"),"ONGELDIG"))</f>
        <v>LEEG</v>
      </c>
      <c r="AL42" s="4" t="str">
        <f>IF(AF42="LEEG","LEEG",IF(TYPE(AF42)=2,IF(LEN(AF42)=2,IF(AND($AI$11=0,AJ43="DUBBEL"),"ONGELDIG","GOED"),"ONGELDIG"),"ONGELDIG"))</f>
        <v>LEEG</v>
      </c>
      <c r="AM42" s="4" t="str">
        <f>IF(ISBLANK(W42),"LEEG",IF(TYPE(W42)=1,IF(AND(W42&lt;10,W42&gt;=0),IF(W42=ROUND(W42,0),"GOED","ONGELDIG"),"ONGELDIG"),"ONGELDIG"))</f>
        <v>LEEG</v>
      </c>
      <c r="AN42" s="4" t="str">
        <f>IF(ISBLANK(Y42),"LEEG",IF(TYPE(Y42)=1,IF(AND(Y42&lt;10,Y42&gt;=0),IF(Y42=ROUND(Y42,0),"GOED","ONGELDIG"),"ONGELDIG"),"ONGELDIG"))</f>
        <v>LEEG</v>
      </c>
      <c r="AO42" s="138" t="str">
        <f>IF(AK42="GOED",IF(AL42="GOED",IF(AM42="GOED",IF(AN42="GOED",AD42&amp;AF42&amp;W42&amp;Y42&amp;"|","FOUT"),"FOUT"),"FOUT"),"FOUT")</f>
        <v>FOUT</v>
      </c>
      <c r="AP42" s="91">
        <f>LEN(AO42)</f>
        <v>4</v>
      </c>
      <c r="AQ42" s="293" t="str">
        <f ca="1">VLOOKUP(AR42,Voorblad!$X$67:$Z$98,2,FALSE)</f>
        <v>Tsjechië</v>
      </c>
      <c r="AR42" s="295" t="str">
        <f>AR38&amp;4</f>
        <v>F4</v>
      </c>
      <c r="AS42" s="684" t="str">
        <f ca="1">IF(AT42=$AR$11,$AQ$11,IF(AT42=$AR$12,$AQ$12,VLOOKUP(AT42,Voorblad!$X$67:$Z$98,2,FALSE)))</f>
        <v>Roemenië</v>
      </c>
      <c r="AT42" s="685" t="str">
        <f t="shared" ca="1" si="5"/>
        <v>E3</v>
      </c>
      <c r="AU42" s="684" t="str">
        <f ca="1">IF(AV42=$AR$11,$AQ$11,IF(AV42=$AR$12,$AQ$12,VLOOKUP(AV42,Voorblad!$X$67:$Z$98,2,FALSE)))</f>
        <v/>
      </c>
      <c r="AV42" s="685" t="str">
        <f t="shared" ca="1" si="6"/>
        <v>??</v>
      </c>
      <c r="AW42" s="684" t="str">
        <f ca="1">IF(AX42=$AR$11,$AQ$11,IF(AX42=$AR$12,$AQ$12,VLOOKUP(AX42,Voorblad!$X$67:$Z$98,2,FALSE)))</f>
        <v>Tsjechië</v>
      </c>
      <c r="AX42" s="685" t="str">
        <f t="shared" ca="1" si="7"/>
        <v>F4</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v>
      </c>
      <c r="H43" s="1211"/>
      <c r="I43" s="1211"/>
      <c r="J43" s="1211"/>
      <c r="K43" s="1211"/>
      <c r="L43" s="1211"/>
      <c r="M43" s="16"/>
      <c r="N43" s="16"/>
      <c r="O43" s="1211" t="str">
        <f ca="1">IF($AB$9=1," "&amp;AE43,IF($AB$9=2,IF(AE42="OO"," "&amp;AE43,""),""))</f>
        <v xml:space="preserve"> </v>
      </c>
      <c r="P43" s="1211"/>
      <c r="Q43" s="1211"/>
      <c r="R43" s="1211"/>
      <c r="S43" s="1211"/>
      <c r="T43" s="1211"/>
      <c r="U43" s="1211"/>
      <c r="V43" s="17"/>
      <c r="W43" s="17"/>
      <c r="X43" s="17"/>
      <c r="Y43" s="17"/>
      <c r="Z43" s="60"/>
      <c r="AA43" s="17"/>
      <c r="AB43" s="850"/>
      <c r="AC43" s="1193" t="str">
        <f ca="1">AM99</f>
        <v/>
      </c>
      <c r="AD43" s="1193"/>
      <c r="AE43" s="1193" t="str">
        <f ca="1">AO99</f>
        <v/>
      </c>
      <c r="AF43" s="1193"/>
      <c r="AG43" s="716" t="str">
        <f>IF(AO42="FOUT","",IF(W42&gt;Y42,AC42,IF(W42&lt;Y42,AE42,AC42&amp;AE42)))</f>
        <v/>
      </c>
      <c r="AH43" s="415" t="str">
        <f>IF(AD42="LEEG","LEEG",IF(AD42= "FOUT","ONGELDIG",IF(LEN(SUBSTITUTE(SUBSTITUTE("|"&amp;$AD$36&amp;"|"&amp;$AF$36&amp;"|"&amp;$AD$38&amp;"|"&amp;$AF$38&amp;"|"&amp;$AD$40&amp;"|"&amp;$AF$40&amp;"|"&amp;$AD$42&amp;"|"&amp;$AF$42&amp;"|","LEEG","##"),AD42,"CONTROLE"))=$AJ$44,"GOED","DUBBEL")))</f>
        <v>LEEG</v>
      </c>
      <c r="AI43" s="5"/>
      <c r="AJ43" s="415" t="str">
        <f>IF(AF42="LEEG","LEEG",IF(AF42= "FOUT","ONGELDIG",IF(LEN(SUBSTITUTE(SUBSTITUTE("|"&amp;$AD$36&amp;"|"&amp;$AF$36&amp;"|"&amp;$AD$38&amp;"|"&amp;$AF$38&amp;"|"&amp;$AD$40&amp;"|"&amp;$AF$40&amp;"|"&amp;$AD$42&amp;"|"&amp;$AF$42&amp;"|","LEEG","##"),AF42,"CONTROLE"))=$AJ$44,"GOED","DUBBEL")))</f>
        <v>LEEG</v>
      </c>
      <c r="AK43" s="1"/>
      <c r="AL43" s="1"/>
      <c r="AM43" s="1"/>
      <c r="AN43" s="1"/>
      <c r="AO43" s="138"/>
      <c r="AP43" s="91"/>
      <c r="AQ43" s="287"/>
      <c r="AR43" s="289" t="s">
        <v>167</v>
      </c>
      <c r="AS43" s="684" t="str">
        <f ca="1">IF(AT43=$AR$11,$AQ$11,IF(AT43=$AR$12,$AQ$12,VLOOKUP(AT43,Voorblad!$X$67:$Z$98,2,FALSE)))</f>
        <v>Schotland</v>
      </c>
      <c r="AT43" s="685" t="str">
        <f t="shared" ca="1" si="5"/>
        <v>A2</v>
      </c>
      <c r="AU43" s="684" t="str">
        <f ca="1">IF(AV43=$AR$11,$AQ$11,IF(AV43=$AR$12,$AQ$12,VLOOKUP(AV43,Voorblad!$X$67:$Z$98,2,FALSE)))</f>
        <v/>
      </c>
      <c r="AV43" s="685" t="str">
        <f t="shared" ca="1" si="6"/>
        <v>??</v>
      </c>
      <c r="AW43" s="684" t="str">
        <f ca="1">IF(AX43=$AR$11,$AQ$11,IF(AX43=$AR$12,$AQ$12,VLOOKUP(AX43,Voorblad!$X$67:$Z$98,2,FALSE)))</f>
        <v>Turkije</v>
      </c>
      <c r="AX43" s="685" t="str">
        <f t="shared" ca="1" si="7"/>
        <v>F1</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Slowakije</v>
      </c>
      <c r="AT44" s="685" t="str">
        <f t="shared" ca="1" si="5"/>
        <v>E2</v>
      </c>
      <c r="AU44" s="684" t="str">
        <f ca="1">IF(AV44=$AR$11,$AQ$11,IF(AV44=$AR$12,$AQ$12,VLOOKUP(AV44,Voorblad!$X$67:$Z$98,2,FALSE)))</f>
        <v/>
      </c>
      <c r="AV44" s="685" t="str">
        <f t="shared" ca="1" si="6"/>
        <v>??</v>
      </c>
      <c r="AW44" s="684" t="str">
        <f ca="1">IF(AX44=$AR$11,$AQ$11,IF(AX44=$AR$12,$AQ$12,VLOOKUP(AX44,Voorblad!$X$67:$Z$98,2,FALSE)))</f>
        <v>Zwitserland</v>
      </c>
      <c r="AX44" s="685" t="str">
        <f t="shared" ca="1" si="7"/>
        <v>A4</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Spanje</v>
      </c>
      <c r="AT45" s="685" t="str">
        <f t="shared" ca="1" si="5"/>
        <v>B1</v>
      </c>
      <c r="AU45" s="684" t="str">
        <f ca="1">IF(AV45=$AR$11,$AQ$11,IF(AV45=$AR$12,$AQ$12,VLOOKUP(AV45,Voorblad!$X$67:$Z$98,2,FALSE)))</f>
        <v/>
      </c>
      <c r="AV45" s="685" t="str">
        <f t="shared" ca="1" si="6"/>
        <v>??</v>
      </c>
      <c r="AW45" s="684" t="str">
        <f ca="1">IF(AX45=$AR$11,$AQ$11,IF(AX45=$AR$12,$AQ$12,VLOOKUP(AX45,Voorblad!$X$67:$Z$98,2,FALSE)))</f>
        <v/>
      </c>
      <c r="AX45" s="685" t="str">
        <f t="shared" ca="1" si="7"/>
        <v>??</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c r="M46" s="665"/>
      <c r="N46" s="666" t="str">
        <f>IF(AK46="LEEG","▼   ","")&amp;"-  "</f>
        <v xml:space="preserve">▼   -  </v>
      </c>
      <c r="O46" s="1192" t="str">
        <f ca="1">" "&amp;Taal04!$B$77&amp;" "&amp;D38</f>
        <v xml:space="preserve"> Win. Wedstrijd 46</v>
      </c>
      <c r="P46" s="1192"/>
      <c r="Q46" s="1192"/>
      <c r="R46" s="1192"/>
      <c r="S46" s="1192"/>
      <c r="T46" s="1192"/>
      <c r="U46" s="667"/>
      <c r="V46" s="666" t="str">
        <f>IF(AL46="LEEG","▼   ","")&amp;": "</f>
        <v xml:space="preserve">▼   : </v>
      </c>
      <c r="W46" s="738"/>
      <c r="X46" s="940" t="s">
        <v>12</v>
      </c>
      <c r="Y46" s="738"/>
      <c r="Z46" s="60"/>
      <c r="AA46" s="17"/>
      <c r="AB46" s="851">
        <f>IF(AND(AM46="GOED",AN46="GOED"),W46+Y46,0)</f>
        <v>0</v>
      </c>
      <c r="AC46" s="271" t="str">
        <f>IF(OR(L46="",ISBLANK(L46),L46=$AQ$11),"OO",IF(TYPE(VLOOKUP(L46,Taal02!$C$100:$D$419,2,FALSE))=16,"XX",VLOOKUP(L46,Taal02!$C$100:$D$419,2,FALSE)))</f>
        <v>OO</v>
      </c>
      <c r="AD46" s="235" t="str">
        <f>IF(AC46="OO","LEEG",IF(AC46="XX","FOUT",VLOOKUP(AC46,Voorblad!$X$65:$Z$98,3,FALSE)))</f>
        <v>LEEG</v>
      </c>
      <c r="AE46" s="271" t="str">
        <f>IF(OR(U46="",ISBLANK(U46),U46=$AQ$11),"OO",IF(TYPE(VLOOKUP(U46,Taal02!$C$100:$D$419,2,FALSE))=16,"XX",VLOOKUP(U46,Taal02!$C$100:$D$419,2,FALSE)))</f>
        <v>OO</v>
      </c>
      <c r="AF46" s="235" t="str">
        <f>IF(AE46="OO","LEEG",IF(AE46="XX","FOUT",VLOOKUP(AE46,Voorblad!$X$65:$Z$98,3,FALSE)))</f>
        <v>LEEG</v>
      </c>
      <c r="AG46" s="5"/>
      <c r="AH46" s="363" t="s">
        <v>2298</v>
      </c>
      <c r="AI46" s="10" t="s">
        <v>12</v>
      </c>
      <c r="AJ46" s="363" t="s">
        <v>2298</v>
      </c>
      <c r="AK46" s="4" t="str">
        <f>IF(AD46="LEEG","LEEG",IF(TYPE(AD46)=2,IF(LEN(AD46)=2,IF(AND($AI$11=0,AH47="DUBBEL"),"ONGELDIG","GOED"),"ONGELDIG"),"ONGELDIG"))</f>
        <v>LEEG</v>
      </c>
      <c r="AL46" s="4" t="str">
        <f>IF(AF46="LEEG","LEEG",IF(TYPE(AF46)=2,IF(LEN(AF46)=2,IF(AND($AI$11=0,AJ47="DUBBEL"),"ONGELDIG","GOED"),"ONGELDIG"),"ONGELDIG"))</f>
        <v>LEEG</v>
      </c>
      <c r="AM46" s="4" t="str">
        <f>IF(ISBLANK(W46),"LEEG",IF(TYPE(W46)=1,IF(AND(W46&lt;10,W46&gt;=0),IF(W46=ROUND(W46,0),"GOED","ONGELDIG"),"ONGELDIG"),"ONGELDIG"))</f>
        <v>LEEG</v>
      </c>
      <c r="AN46" s="4" t="str">
        <f>IF(ISBLANK(Y46),"LEEG",IF(TYPE(Y46)=1,IF(AND(Y46&lt;10,Y46&gt;=0),IF(Y46=ROUND(Y46,0),"GOED","ONGELDIG"),"ONGELDIG"),"ONGELDIG"))</f>
        <v>LEEG</v>
      </c>
      <c r="AO46" s="138" t="str">
        <f>IF(AK46="GOED",IF(AL46="GOED",IF(AM46="GOED",IF(AN46="GOED",AD46&amp;AF46&amp;W46&amp;Y46&amp;"|","FOUT"),"FOUT"),"FOUT"),"FOUT")</f>
        <v>FOUT</v>
      </c>
      <c r="AP46" s="91">
        <f>LEN(AO46)</f>
        <v>4</v>
      </c>
      <c r="AQ46" s="291" t="str">
        <f ca="1">VLOOKUP(AR46,Voorblad!$X$67:$Z$98,2,FALSE)</f>
        <v>ZZZ_land_G3</v>
      </c>
      <c r="AR46" s="292" t="str">
        <f>AR43&amp;3</f>
        <v>G3</v>
      </c>
      <c r="AS46" s="684" t="str">
        <f ca="1">IF(AT46=$AR$11,$AQ$11,IF(AT46=$AR$12,$AQ$12,VLOOKUP(AT46,Voorblad!$X$67:$Z$98,2,FALSE)))</f>
        <v>Tsjechië</v>
      </c>
      <c r="AT46" s="685" t="str">
        <f t="shared" ca="1" si="5"/>
        <v>F4</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v>
      </c>
      <c r="H47" s="1211"/>
      <c r="I47" s="1211"/>
      <c r="J47" s="1211"/>
      <c r="K47" s="1211"/>
      <c r="L47" s="1211"/>
      <c r="M47" s="16"/>
      <c r="N47" s="16"/>
      <c r="O47" s="1211" t="str">
        <f ca="1">IF($AB$9=1," "&amp;AE47,IF($AB$9=2,IF(AE46="OO"," "&amp;AE47,""),""))</f>
        <v xml:space="preserve"> </v>
      </c>
      <c r="P47" s="1211"/>
      <c r="Q47" s="1211"/>
      <c r="R47" s="1211"/>
      <c r="S47" s="1211"/>
      <c r="T47" s="1211"/>
      <c r="U47" s="1211"/>
      <c r="V47" s="17"/>
      <c r="W47" s="17"/>
      <c r="X47" s="262"/>
      <c r="Y47" s="17"/>
      <c r="Z47" s="60"/>
      <c r="AA47" s="17"/>
      <c r="AB47" s="850"/>
      <c r="AC47" s="1193" t="str">
        <f ca="1">AM102</f>
        <v/>
      </c>
      <c r="AD47" s="1193"/>
      <c r="AE47" s="1193" t="str">
        <f ca="1">AO102</f>
        <v/>
      </c>
      <c r="AF47" s="1193"/>
      <c r="AG47" s="716" t="str">
        <f>IF(AO46="FOUT","",IF(W46&gt;Y46,AC46,IF(W46&lt;Y46,AE46,AC46&amp;AE46)))</f>
        <v/>
      </c>
      <c r="AH47" s="415" t="str">
        <f>IF(AD46="LEEG","LEEG",IF(AD46= "FOUT","ONGELDIG",IF(LEN(SUBSTITUTE(SUBSTITUTE("|"&amp;$AD$46&amp;"|"&amp;$AF$46&amp;"|"&amp;$AD$48&amp;"|"&amp;$AF$48&amp;"|","LEEG","##"),AD46,"CONTROLE"))=$AJ$50,"GOED","DUBBEL")))</f>
        <v>LEEG</v>
      </c>
      <c r="AI47" s="5"/>
      <c r="AJ47" s="415" t="str">
        <f>IF(AF46="LEEG","LEEG",IF(AF46= "FOUT","ONGELDIG",IF(LEN(SUBSTITUTE(SUBSTITUTE("|"&amp;$AD$46&amp;"|"&amp;$AF$46&amp;"|"&amp;$AD$48&amp;"|"&amp;$AF$48&amp;"|","LEEG","##"),AF46,"CONTROLE"))=$AJ$50,"GOED","DUBBEL")))</f>
        <v>LEEG</v>
      </c>
      <c r="AK47" s="4"/>
      <c r="AL47" s="4"/>
      <c r="AM47" s="4"/>
      <c r="AN47" s="4"/>
      <c r="AO47" s="45"/>
      <c r="AP47" s="91"/>
      <c r="AQ47" s="293" t="str">
        <f ca="1">VLOOKUP(AR47,Voorblad!$X$67:$Z$98,2,FALSE)</f>
        <v>ZZZ_land_G4</v>
      </c>
      <c r="AR47" s="295" t="str">
        <f>AR43&amp;4</f>
        <v>G4</v>
      </c>
      <c r="AS47" s="684" t="str">
        <f ca="1">IF(AT47=$AR$11,$AQ$11,IF(AT47=$AR$12,$AQ$12,VLOOKUP(AT47,Voorblad!$X$67:$Z$98,2,FALSE)))</f>
        <v>Turkije</v>
      </c>
      <c r="AT47" s="685" t="str">
        <f t="shared" ca="1" si="5"/>
        <v>F1</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c r="M48" s="665"/>
      <c r="N48" s="666" t="str">
        <f>IF(AK48="LEEG","▼   ","")&amp;"-  "</f>
        <v xml:space="preserve">▼   -  </v>
      </c>
      <c r="O48" s="1192" t="str">
        <f ca="1">" "&amp;Taal04!$B$77&amp;" "&amp;D40</f>
        <v xml:space="preserve"> Win. Wedstrijd 48</v>
      </c>
      <c r="P48" s="1192"/>
      <c r="Q48" s="1192"/>
      <c r="R48" s="1192"/>
      <c r="S48" s="1192"/>
      <c r="T48" s="1192"/>
      <c r="U48" s="667"/>
      <c r="V48" s="666" t="str">
        <f>IF(AL48="LEEG","▼   ","")&amp;": "</f>
        <v xml:space="preserve">▼   : </v>
      </c>
      <c r="W48" s="738"/>
      <c r="X48" s="940" t="s">
        <v>12</v>
      </c>
      <c r="Y48" s="738"/>
      <c r="Z48" s="60"/>
      <c r="AA48" s="17"/>
      <c r="AB48" s="851">
        <f>IF(AND(AM48="GOED",AN48="GOED"),W48+Y48,0)</f>
        <v>0</v>
      </c>
      <c r="AC48" s="271" t="str">
        <f>IF(OR(L48="",ISBLANK(L48),L48=$AQ$11),"OO",IF(TYPE(VLOOKUP(L48,Taal02!$C$100:$D$419,2,FALSE))=16,"XX",VLOOKUP(L48,Taal02!$C$100:$D$419,2,FALSE)))</f>
        <v>OO</v>
      </c>
      <c r="AD48" s="235" t="str">
        <f>IF(AC48="OO","LEEG",IF(AC48="XX","FOUT",VLOOKUP(AC48,Voorblad!$X$65:$Z$98,3,FALSE)))</f>
        <v>LEEG</v>
      </c>
      <c r="AE48" s="271" t="str">
        <f>IF(OR(U48="",ISBLANK(U48),U48=$AQ$11),"OO",IF(TYPE(VLOOKUP(U48,Taal02!$C$100:$D$419,2,FALSE))=16,"XX",VLOOKUP(U48,Taal02!$C$100:$D$419,2,FALSE)))</f>
        <v>OO</v>
      </c>
      <c r="AF48" s="235" t="str">
        <f>IF(AE48="OO","LEEG",IF(AE48="XX","FOUT",VLOOKUP(AE48,Voorblad!$X$65:$Z$98,3,FALSE)))</f>
        <v>LEEG</v>
      </c>
      <c r="AG48" s="716" t="str">
        <f>IF(AO46="FOUT","",IF(W46&lt;Y46,AC46,IF(W46&gt;Y46,AE46,AC46&amp;AE46)))</f>
        <v/>
      </c>
      <c r="AH48" s="363" t="s">
        <v>2298</v>
      </c>
      <c r="AI48" s="10" t="s">
        <v>12</v>
      </c>
      <c r="AJ48" s="363" t="s">
        <v>2298</v>
      </c>
      <c r="AK48" s="4" t="str">
        <f>IF(AD48="LEEG","LEEG",IF(TYPE(AD48)=2,IF(LEN(AD48)=2,IF(AND($AI$11=0,AH49="DUBBEL"),"ONGELDIG","GOED"),"ONGELDIG"),"ONGELDIG"))</f>
        <v>LEEG</v>
      </c>
      <c r="AL48" s="4" t="str">
        <f>IF(AF48="LEEG","LEEG",IF(TYPE(AF48)=2,IF(LEN(AF48)=2,IF(AND($AI$11=0,AJ49="DUBBEL"),"ONGELDIG","GOED"),"ONGELDIG"),"ONGELDIG"))</f>
        <v>LEEG</v>
      </c>
      <c r="AM48" s="4" t="str">
        <f>IF(ISBLANK(W48),"LEEG",IF(TYPE(W48)=1,IF(AND(W48&lt;10,W48&gt;=0),IF(W48=ROUND(W48,0),"GOED","ONGELDIG"),"ONGELDIG"),"ONGELDIG"))</f>
        <v>LEEG</v>
      </c>
      <c r="AN48" s="4" t="str">
        <f>IF(ISBLANK(Y48),"LEEG",IF(TYPE(Y48)=1,IF(AND(Y48&lt;10,Y48&gt;=0),IF(Y48=ROUND(Y48,0),"GOED","ONGELDIG"),"ONGELDIG"),"ONGELDIG"))</f>
        <v>LEEG</v>
      </c>
      <c r="AO48" s="138" t="str">
        <f>IF(AK48="GOED",IF(AL48="GOED",IF(AM48="GOED",IF(AN48="GOED",AD48&amp;AF48&amp;W48&amp;Y48&amp;"|","FOUT"),"FOUT"),"FOUT"),"FOUT")</f>
        <v>FOUT</v>
      </c>
      <c r="AP48" s="91">
        <f>LEN(AO48)</f>
        <v>4</v>
      </c>
      <c r="AQ48" s="287"/>
      <c r="AR48" s="289" t="s">
        <v>169</v>
      </c>
      <c r="AS48" s="684" t="str">
        <f ca="1">IF(AT48=$AR$11,$AQ$11,IF(AT48=$AR$12,$AQ$12,VLOOKUP(AT48,Voorblad!$X$67:$Z$98,2,FALSE)))</f>
        <v>Zwitserland</v>
      </c>
      <c r="AT48" s="685" t="str">
        <f t="shared" ca="1" si="5"/>
        <v>A4</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v>
      </c>
      <c r="H49" s="1211"/>
      <c r="I49" s="1211"/>
      <c r="J49" s="1211"/>
      <c r="K49" s="1211"/>
      <c r="L49" s="1211"/>
      <c r="M49" s="16"/>
      <c r="N49" s="16"/>
      <c r="O49" s="1211" t="str">
        <f ca="1">IF($AB$9=1," "&amp;AE49,IF($AB$9=2,IF(AE48="OO"," "&amp;AE49,""),""))</f>
        <v xml:space="preserve"> </v>
      </c>
      <c r="P49" s="1211"/>
      <c r="Q49" s="1211"/>
      <c r="R49" s="1211"/>
      <c r="S49" s="1211"/>
      <c r="T49" s="1211"/>
      <c r="U49" s="1211"/>
      <c r="V49" s="17"/>
      <c r="W49" s="262"/>
      <c r="X49" s="262"/>
      <c r="Y49" s="262"/>
      <c r="Z49" s="60"/>
      <c r="AA49" s="17"/>
      <c r="AB49" s="850"/>
      <c r="AC49" s="1193" t="str">
        <f ca="1">AM103</f>
        <v/>
      </c>
      <c r="AD49" s="1193"/>
      <c r="AE49" s="1193" t="str">
        <f ca="1">AO103</f>
        <v/>
      </c>
      <c r="AF49" s="1193"/>
      <c r="AG49" s="716" t="str">
        <f>IF(AO48="FOUT","",IF(W48&gt;Y48,AC48,IF(W48&lt;Y48,AE48,AC48&amp;AE48)))</f>
        <v/>
      </c>
      <c r="AH49" s="415" t="str">
        <f>IF(AD48="LEEG","LEEG",IF(AD48= "FOUT","ONGELDIG",IF(LEN(SUBSTITUTE(SUBSTITUTE("|"&amp;$AD$46&amp;"|"&amp;$AF$46&amp;"|"&amp;$AD$48&amp;"|"&amp;$AF$48&amp;"|","LEEG","##"),AD48,"CONTROLE"))=$AJ$50,"GOED","DUBBEL")))</f>
        <v>LEEG</v>
      </c>
      <c r="AI49" s="5"/>
      <c r="AJ49" s="415" t="str">
        <f>IF(AF48="LEEG","LEEG",IF(AF48= "FOUT","ONGELDIG",IF(LEN(SUBSTITUTE(SUBSTITUTE("|"&amp;$AD$46&amp;"|"&amp;$AF$46&amp;"|"&amp;$AD$48&amp;"|"&amp;$AF$48&amp;"|","LEEG","##"),AF48,"CONTROLE"))=$AJ$50,"GOED","DUBBEL")))</f>
        <v>LEEG</v>
      </c>
      <c r="AK49" s="4"/>
      <c r="AL49" s="4"/>
      <c r="AM49" s="4"/>
      <c r="AN49" s="4"/>
      <c r="AO49" s="138"/>
      <c r="AP49" s="91"/>
      <c r="AQ49" s="291" t="str">
        <f ca="1">VLOOKUP(AR49,Voorblad!$X$67:$Z$98,2,FALSE)</f>
        <v>ZZZ_land_H1</v>
      </c>
      <c r="AR49" s="292" t="str">
        <f>AR48&amp;1</f>
        <v>H1</v>
      </c>
      <c r="AS49" s="684" t="str">
        <f ca="1">IF(AT49=$AR$11,$AQ$11,IF(AT49=$AR$12,$AQ$12,VLOOKUP(AT49,Voorblad!$X$67:$Z$98,2,FALSE)))</f>
        <v/>
      </c>
      <c r="AT49" s="685" t="str">
        <f t="shared" ca="1" si="5"/>
        <v>??</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IF(AO48="FOUT","",IF(W48&lt;Y48,AC48,IF(W48&gt;Y48,AE48,AC48&amp;AE48)))</f>
        <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België</v>
      </c>
      <c r="AT51" s="685" t="str">
        <f t="shared" ref="AT51:AT71" ca="1" si="12">RIGHT(LEFT($AK$98,$BA51),2)</f>
        <v>E1</v>
      </c>
      <c r="AU51" s="684" t="str">
        <f ca="1">IF(AV51=$AR$11,$AQ$11,IF(AV51=$AR$12,$AQ$12,VLOOKUP(AV51,Voorblad!$X$67:$Z$98,2,FALSE)))</f>
        <v>Albanië</v>
      </c>
      <c r="AV51" s="685" t="str">
        <f t="shared" ref="AV51:AV71" ca="1" si="13">RIGHT(LEFT($AL$98,$BA51),2)</f>
        <v>B4</v>
      </c>
      <c r="AW51" s="684" t="str">
        <f ca="1">IF(AX51=$AR$11,$AQ$11,IF(AX51=$AR$12,$AQ$12,VLOOKUP(AX51,Voorblad!$X$67:$Z$98,2,FALSE)))</f>
        <v>Albanië</v>
      </c>
      <c r="AX51" s="685" t="str">
        <f t="shared" ref="AX51:AX71" ca="1" si="14">RIGHT(LEFT($AK$99,$BA51),2)</f>
        <v>B4</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Denemarken</v>
      </c>
      <c r="AT52" s="685" t="str">
        <f t="shared" ca="1" si="12"/>
        <v>C2</v>
      </c>
      <c r="AU52" s="684" t="str">
        <f ca="1">IF(AV52=$AR$11,$AQ$11,IF(AV52=$AR$12,$AQ$12,VLOOKUP(AV52,Voorblad!$X$67:$Z$98,2,FALSE)))</f>
        <v>Duitsland</v>
      </c>
      <c r="AV52" s="685" t="str">
        <f t="shared" ca="1" si="13"/>
        <v>A1</v>
      </c>
      <c r="AW52" s="684" t="str">
        <f ca="1">IF(AX52=$AR$11,$AQ$11,IF(AX52=$AR$12,$AQ$12,VLOOKUP(AX52,Voorblad!$X$67:$Z$98,2,FALSE)))</f>
        <v>België</v>
      </c>
      <c r="AX52" s="685" t="str">
        <f t="shared" ca="1" si="14"/>
        <v>E1</v>
      </c>
      <c r="AY52" s="684" t="str">
        <f ca="1">IF(AZ52=$AR$11,$AQ$11,IF(AZ52=$AR$12,$AQ$12,VLOOKUP(AZ52,Voorblad!$X$67:$Z$98,2,FALSE)))</f>
        <v>Georgië</v>
      </c>
      <c r="AZ52" s="685" t="str">
        <f t="shared" ca="1" si="15"/>
        <v>F2</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v>
      </c>
      <c r="H53" s="1211"/>
      <c r="I53" s="1211"/>
      <c r="J53" s="1211"/>
      <c r="K53" s="1211"/>
      <c r="L53" s="1211"/>
      <c r="M53" s="16"/>
      <c r="N53" s="16"/>
      <c r="O53" s="1211" t="str">
        <f ca="1">IF($AB$9=1," "&amp;AE53,IF($AB$9=2,IF(AE52="OO"," "&amp;AE53,""),""))</f>
        <v xml:space="preserve"> </v>
      </c>
      <c r="P53" s="1211"/>
      <c r="Q53" s="1211"/>
      <c r="R53" s="1211"/>
      <c r="S53" s="1211"/>
      <c r="T53" s="1211"/>
      <c r="U53" s="1211"/>
      <c r="V53" s="17"/>
      <c r="W53" s="262"/>
      <c r="X53" s="262"/>
      <c r="Y53" s="262"/>
      <c r="Z53" s="60"/>
      <c r="AA53" s="17"/>
      <c r="AB53" s="850"/>
      <c r="AC53" s="1193" t="str">
        <f ca="1">AM106</f>
        <v/>
      </c>
      <c r="AD53" s="1193"/>
      <c r="AE53" s="1193" t="str">
        <f ca="1">AO106</f>
        <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Engeland</v>
      </c>
      <c r="AT53" s="685" t="str">
        <f t="shared" ca="1" si="12"/>
        <v>C4</v>
      </c>
      <c r="AU53" s="684" t="str">
        <f ca="1">IF(AV53=$AR$11,$AQ$11,IF(AV53=$AR$12,$AQ$12,VLOOKUP(AV53,Voorblad!$X$67:$Z$98,2,FALSE)))</f>
        <v>Hongarije</v>
      </c>
      <c r="AV53" s="685" t="str">
        <f t="shared" ca="1" si="13"/>
        <v>A3</v>
      </c>
      <c r="AW53" s="684" t="str">
        <f ca="1">IF(AX53=$AR$11,$AQ$11,IF(AX53=$AR$12,$AQ$12,VLOOKUP(AX53,Voorblad!$X$67:$Z$98,2,FALSE)))</f>
        <v>Denemarken</v>
      </c>
      <c r="AX53" s="685" t="str">
        <f t="shared" ca="1" si="14"/>
        <v>C2</v>
      </c>
      <c r="AY53" s="684" t="str">
        <f ca="1">IF(AZ53=$AR$11,$AQ$11,IF(AZ53=$AR$12,$AQ$12,VLOOKUP(AZ53,Voorblad!$X$67:$Z$98,2,FALSE)))</f>
        <v>Nederland</v>
      </c>
      <c r="AZ53" s="685" t="str">
        <f t="shared" ca="1" si="15"/>
        <v>D2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Frankrijk</v>
      </c>
      <c r="AT54" s="685" t="str">
        <f t="shared" ca="1" si="12"/>
        <v>D4</v>
      </c>
      <c r="AU54" s="684" t="str">
        <f ca="1">IF(AV54=$AR$11,$AQ$11,IF(AV54=$AR$12,$AQ$12,VLOOKUP(AV54,Voorblad!$X$67:$Z$98,2,FALSE)))</f>
        <v>Italië</v>
      </c>
      <c r="AV54" s="685" t="str">
        <f t="shared" ca="1" si="13"/>
        <v>B3</v>
      </c>
      <c r="AW54" s="684" t="str">
        <f ca="1">IF(AX54=$AR$11,$AQ$11,IF(AX54=$AR$12,$AQ$12,VLOOKUP(AX54,Voorblad!$X$67:$Z$98,2,FALSE)))</f>
        <v>Duitsland</v>
      </c>
      <c r="AX54" s="685" t="str">
        <f t="shared" ca="1" si="14"/>
        <v>A1</v>
      </c>
      <c r="AY54" s="684" t="str">
        <f ca="1">IF(AZ54=$AR$11,$AQ$11,IF(AZ54=$AR$12,$AQ$12,VLOOKUP(AZ54,Voorblad!$X$67:$Z$98,2,FALSE)))</f>
        <v>Oostenrijk</v>
      </c>
      <c r="AZ54" s="685" t="str">
        <f t="shared" ca="1" si="15"/>
        <v>D3</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Georgië</v>
      </c>
      <c r="AT55" s="685" t="str">
        <f t="shared" ca="1" si="12"/>
        <v>F2</v>
      </c>
      <c r="AU55" s="684" t="str">
        <f ca="1">IF(AV55=$AR$11,$AQ$11,IF(AV55=$AR$12,$AQ$12,VLOOKUP(AV55,Voorblad!$X$67:$Z$98,2,FALSE)))</f>
        <v>Kroatië</v>
      </c>
      <c r="AV55" s="685" t="str">
        <f t="shared" ca="1" si="13"/>
        <v>B2</v>
      </c>
      <c r="AW55" s="684" t="str">
        <f ca="1">IF(AX55=$AR$11,$AQ$11,IF(AX55=$AR$12,$AQ$12,VLOOKUP(AX55,Voorblad!$X$67:$Z$98,2,FALSE)))</f>
        <v>Engeland</v>
      </c>
      <c r="AX55" s="685" t="str">
        <f t="shared" ca="1" si="14"/>
        <v>C4</v>
      </c>
      <c r="AY55" s="684" t="str">
        <f ca="1">IF(AZ55=$AR$11,$AQ$11,IF(AZ55=$AR$12,$AQ$12,VLOOKUP(AZ55,Voorblad!$X$67:$Z$98,2,FALSE)))</f>
        <v>Polen</v>
      </c>
      <c r="AZ55" s="685" t="str">
        <f t="shared" ca="1" si="15"/>
        <v>D1</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c r="M56" s="665"/>
      <c r="N56" s="666" t="str">
        <f>IF(AK56="LEEG","▼   ","")&amp;"-  "</f>
        <v xml:space="preserve">▼   -  </v>
      </c>
      <c r="O56" s="1192" t="str">
        <f ca="1">" "&amp;Taal04!$B$77&amp;" "&amp;D48</f>
        <v xml:space="preserve"> Win. Wedstrijd 50</v>
      </c>
      <c r="P56" s="1192"/>
      <c r="Q56" s="1192"/>
      <c r="R56" s="1192"/>
      <c r="S56" s="1192"/>
      <c r="T56" s="1192"/>
      <c r="U56" s="667"/>
      <c r="V56" s="666" t="str">
        <f>IF(AL56="LEEG","▼   ","")&amp;": "</f>
        <v xml:space="preserve">▼   : </v>
      </c>
      <c r="W56" s="738"/>
      <c r="X56" s="940" t="s">
        <v>12</v>
      </c>
      <c r="Y56" s="738"/>
      <c r="Z56" s="60"/>
      <c r="AA56" s="17"/>
      <c r="AB56" s="851">
        <f>IF(AND(AM56="GOED",AN56="GOED"),W56+Y56,0)</f>
        <v>0</v>
      </c>
      <c r="AC56" s="271" t="str">
        <f>IF(OR(L56="",ISBLANK(L56),L56=$AQ$11),"OO",IF(TYPE(VLOOKUP(L56,Taal02!$C$100:$D$419,2,FALSE))=16,"XX",VLOOKUP(L56,Taal02!$C$100:$D$419,2,FALSE)))</f>
        <v>OO</v>
      </c>
      <c r="AD56" s="235" t="str">
        <f>IF(AC56="OO","LEEG",IF(AC56="XX","FOUT",VLOOKUP(AC56,Voorblad!$X$65:$Z$98,3,FALSE)))</f>
        <v>LEEG</v>
      </c>
      <c r="AE56" s="271" t="str">
        <f>IF(OR(U56="",ISBLANK(U56),U56=$AQ$11),"OO",IF(TYPE(VLOOKUP(U56,Taal02!$C$100:$D$419,2,FALSE))=16,"XX",VLOOKUP(U56,Taal02!$C$100:$D$419,2,FALSE)))</f>
        <v>OO</v>
      </c>
      <c r="AF56" s="235" t="str">
        <f>IF(AE56="OO","LEEG",IF(AE56="XX","FOUT",VLOOKUP(AE56,Voorblad!$X$65:$Z$98,3,FALSE)))</f>
        <v>LEEG</v>
      </c>
      <c r="AG56" s="5"/>
      <c r="AH56" s="363" t="s">
        <v>2298</v>
      </c>
      <c r="AI56" s="10" t="s">
        <v>12</v>
      </c>
      <c r="AJ56" s="363" t="s">
        <v>2298</v>
      </c>
      <c r="AK56" s="4" t="str">
        <f>IF(AD56="LEEG","LEEG",IF(TYPE(AD56)=2,IF(LEN(AD56)=2,IF(AND($AI$11=0,AH57="DUBBEL"),"ONGELDIG","GOED"),"ONGELDIG"),"ONGELDIG"))</f>
        <v>LEEG</v>
      </c>
      <c r="AL56" s="4" t="str">
        <f>IF(AF56="LEEG","LEEG",IF(TYPE(AF56)=2,IF(LEN(AF56)=2,IF(AND($AI$11=0,AJ57="DUBBEL"),"ONGELDIG","GOED"),"ONGELDIG"),"ONGELDIG"))</f>
        <v>LEEG</v>
      </c>
      <c r="AM56" s="4" t="str">
        <f>IF(ISBLANK(W56),"LEEG",IF(TYPE(W56)=1,IF(AND(W56&lt;10,W56&gt;=0),IF(W56=ROUND(W56,0),"GOED","ONGELDIG"),"ONGELDIG"),"ONGELDIG"))</f>
        <v>LEEG</v>
      </c>
      <c r="AN56" s="4" t="str">
        <f>IF(ISBLANK(Y56),"LEEG",IF(TYPE(Y56)=1,IF(AND(Y56&lt;10,Y56&gt;=0),IF(Y56=ROUND(Y56,0),"GOED","ONGELDIG"),"ONGELDIG"),"ONGELDIG"))</f>
        <v>LEEG</v>
      </c>
      <c r="AO56" s="138" t="str">
        <f>IF(AK56="GOED",IF(AL56="GOED",IF(AM56="GOED",IF(AN56="GOED",AD56&amp;AF56&amp;W56&amp;Y56&amp;"|","FOUT"),"FOUT"),"FOUT"),"FOUT")</f>
        <v>FOUT</v>
      </c>
      <c r="AP56" s="91">
        <f>LEN(AO56)</f>
        <v>4</v>
      </c>
      <c r="AQ56" s="674"/>
      <c r="AR56" s="678"/>
      <c r="AS56" s="684" t="str">
        <f ca="1">IF(AT56=$AR$11,$AQ$11,IF(AT56=$AR$12,$AQ$12,VLOOKUP(AT56,Voorblad!$X$67:$Z$98,2,FALSE)))</f>
        <v>Nederland</v>
      </c>
      <c r="AT56" s="685" t="str">
        <f t="shared" ca="1" si="12"/>
        <v>D2</v>
      </c>
      <c r="AU56" s="684" t="str">
        <f ca="1">IF(AV56=$AR$11,$AQ$11,IF(AV56=$AR$12,$AQ$12,VLOOKUP(AV56,Voorblad!$X$67:$Z$98,2,FALSE)))</f>
        <v>Schotland</v>
      </c>
      <c r="AV56" s="685" t="str">
        <f t="shared" ca="1" si="13"/>
        <v>A2</v>
      </c>
      <c r="AW56" s="684" t="str">
        <f ca="1">IF(AX56=$AR$11,$AQ$11,IF(AX56=$AR$12,$AQ$12,VLOOKUP(AX56,Voorblad!$X$67:$Z$98,2,FALSE)))</f>
        <v>Frankrijk</v>
      </c>
      <c r="AX56" s="685" t="str">
        <f t="shared" ca="1" si="14"/>
        <v>D4</v>
      </c>
      <c r="AY56" s="684" t="str">
        <f ca="1">IF(AZ56=$AR$11,$AQ$11,IF(AZ56=$AR$12,$AQ$12,VLOOKUP(AZ56,Voorblad!$X$67:$Z$98,2,FALSE)))</f>
        <v>Portugal</v>
      </c>
      <c r="AZ56" s="685" t="str">
        <f t="shared" ca="1" si="15"/>
        <v>F3</v>
      </c>
      <c r="BA56" s="688">
        <f t="shared" si="16"/>
        <v>12</v>
      </c>
    </row>
    <row r="57" spans="1:55" ht="15" customHeight="1" x14ac:dyDescent="0.25">
      <c r="A57" s="173"/>
      <c r="B57" s="17"/>
      <c r="C57" s="949"/>
      <c r="D57" s="17"/>
      <c r="E57" s="17"/>
      <c r="F57" s="17"/>
      <c r="G57" s="1211" t="str">
        <f ca="1">IF($AB$9=1," "&amp;AC57,IF($AB$9=2,IF(AC56="OO"," "&amp;AC57,""),""))</f>
        <v xml:space="preserve"> </v>
      </c>
      <c r="H57" s="1211"/>
      <c r="I57" s="1211"/>
      <c r="J57" s="1211"/>
      <c r="K57" s="1211"/>
      <c r="L57" s="1211"/>
      <c r="M57" s="16"/>
      <c r="N57" s="16"/>
      <c r="O57" s="1211" t="str">
        <f ca="1">IF($AB$9=1," "&amp;AE57,IF($AB$9=2,IF(AE56="OO"," "&amp;AE57,""),""))</f>
        <v xml:space="preserve"> </v>
      </c>
      <c r="P57" s="1211"/>
      <c r="Q57" s="1211"/>
      <c r="R57" s="1211"/>
      <c r="S57" s="1211"/>
      <c r="T57" s="1211"/>
      <c r="U57" s="1211"/>
      <c r="V57" s="17"/>
      <c r="W57" s="17"/>
      <c r="X57" s="17"/>
      <c r="Y57" s="17"/>
      <c r="Z57" s="60"/>
      <c r="AA57" s="17"/>
      <c r="AB57" s="1240" t="s">
        <v>1908</v>
      </c>
      <c r="AC57" s="1209" t="str">
        <f ca="1">AM109</f>
        <v/>
      </c>
      <c r="AD57" s="1209"/>
      <c r="AE57" s="1209" t="str">
        <f ca="1">AO109</f>
        <v/>
      </c>
      <c r="AF57" s="1209"/>
      <c r="AG57" s="716" t="str">
        <f>IF(AO56="FOUT","",IF(W56&gt;Y56,AC56,IF(W56&lt;Y56,AE56,AC56&amp;AE56)))</f>
        <v/>
      </c>
      <c r="AH57" s="415" t="str">
        <f>IF(AD56="LEEG","LEEG",IF(AD56= "FOUT","ONGELDIG",IF(LEN(SUBSTITUTE(SUBSTITUTE("|"&amp;$AD$52&amp;"|"&amp;$AF$52&amp;"|"&amp;$AD$56&amp;"|"&amp;$AF$56&amp;"|","LEEG","##"),AD56,"CONTROLE"))=$AJ$58,"GOED","DUBBEL")))</f>
        <v>LEEG</v>
      </c>
      <c r="AI57" s="5"/>
      <c r="AJ57" s="415" t="str">
        <f>IF(AF56="LEEG","LEEG",IF(AF56= "FOUT","ONGELDIG",IF(LEN(SUBSTITUTE(SUBSTITUTE("|"&amp;$AD$52&amp;"|"&amp;$AF$52&amp;"|"&amp;$AD$56&amp;"|"&amp;$AF$56&amp;"|","LEEG","##"),AF56,"CONTROLE"))=$AJ$58,"GOED","DUBBEL")))</f>
        <v>LEEG</v>
      </c>
      <c r="AK57" s="4"/>
      <c r="AL57" s="4"/>
      <c r="AM57" s="4"/>
      <c r="AN57" s="4"/>
      <c r="AO57" s="1"/>
      <c r="AP57" s="91"/>
      <c r="AQ57" s="674"/>
      <c r="AR57" s="678"/>
      <c r="AS57" s="684" t="str">
        <f ca="1">IF(AT57=$AR$11,$AQ$11,IF(AT57=$AR$12,$AQ$12,VLOOKUP(AT57,Voorblad!$X$67:$Z$98,2,FALSE)))</f>
        <v>Oekraïne</v>
      </c>
      <c r="AT57" s="685" t="str">
        <f t="shared" ca="1" si="12"/>
        <v>E4</v>
      </c>
      <c r="AU57" s="684" t="str">
        <f ca="1">IF(AV57=$AR$11,$AQ$11,IF(AV57=$AR$12,$AQ$12,VLOOKUP(AV57,Voorblad!$X$67:$Z$98,2,FALSE)))</f>
        <v>Spanje</v>
      </c>
      <c r="AV57" s="685" t="str">
        <f t="shared" ca="1" si="13"/>
        <v>B1</v>
      </c>
      <c r="AW57" s="684" t="str">
        <f ca="1">IF(AX57=$AR$11,$AQ$11,IF(AX57=$AR$12,$AQ$12,VLOOKUP(AX57,Voorblad!$X$67:$Z$98,2,FALSE)))</f>
        <v>Hongarije</v>
      </c>
      <c r="AX57" s="685" t="str">
        <f t="shared" ca="1" si="14"/>
        <v>A3</v>
      </c>
      <c r="AY57" s="684" t="str">
        <f ca="1">IF(AZ57=$AR$11,$AQ$11,IF(AZ57=$AR$12,$AQ$12,VLOOKUP(AZ57,Voorblad!$X$67:$Z$98,2,FALSE)))</f>
        <v>Tsjechië</v>
      </c>
      <c r="AZ57" s="685" t="str">
        <f t="shared" ca="1" si="15"/>
        <v>F4</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Oostenrijk</v>
      </c>
      <c r="AT58" s="685" t="str">
        <f t="shared" ca="1" si="12"/>
        <v>D3</v>
      </c>
      <c r="AU58" s="684" t="str">
        <f ca="1">IF(AV58=$AR$11,$AQ$11,IF(AV58=$AR$12,$AQ$12,VLOOKUP(AV58,Voorblad!$X$67:$Z$98,2,FALSE)))</f>
        <v>Zwitserland</v>
      </c>
      <c r="AV58" s="685" t="str">
        <f t="shared" ca="1" si="13"/>
        <v>A4</v>
      </c>
      <c r="AW58" s="684" t="str">
        <f ca="1">IF(AX58=$AR$11,$AQ$11,IF(AX58=$AR$12,$AQ$12,VLOOKUP(AX58,Voorblad!$X$67:$Z$98,2,FALSE)))</f>
        <v>Italië</v>
      </c>
      <c r="AX58" s="685" t="str">
        <f t="shared" ca="1" si="14"/>
        <v>B3</v>
      </c>
      <c r="AY58" s="684" t="str">
        <f ca="1">IF(AZ58=$AR$11,$AQ$11,IF(AZ58=$AR$12,$AQ$12,VLOOKUP(AZ58,Voorblad!$X$67:$Z$98,2,FALSE)))</f>
        <v>Turkije</v>
      </c>
      <c r="AZ58" s="685" t="str">
        <f t="shared" ca="1" si="15"/>
        <v>F1</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c r="P59" s="1194"/>
      <c r="Q59" s="1194"/>
      <c r="R59" s="1194"/>
      <c r="S59" s="1194"/>
      <c r="T59" s="1194"/>
      <c r="U59" s="1194"/>
      <c r="V59" s="726"/>
      <c r="W59" s="17"/>
      <c r="X59" s="17"/>
      <c r="Y59" s="17"/>
      <c r="Z59" s="60"/>
      <c r="AA59" s="17"/>
      <c r="AB59" s="1240"/>
      <c r="AC59" s="5"/>
      <c r="AD59" s="13"/>
      <c r="AE59" s="271" t="str">
        <f>IF(OR(O59="",ISBLANK(O59),O59=$AQ$11),"OO",IF(TYPE(VLOOKUP(O59,Taal02!$C$100:$D$419,2,FALSE))=16,"XX",VLOOKUP(O59,Taal02!$C$100:$D$419,2,FALSE)))</f>
        <v>OO</v>
      </c>
      <c r="AF59" s="235" t="str">
        <f>IF(AE59="OO","LEEG",IF(AE59="XX","FOUT",VLOOKUP(AE59,Voorblad!$X$65:$Z$98,3,FALSE)))</f>
        <v>LEEG</v>
      </c>
      <c r="AG59" s="5"/>
      <c r="AH59" s="363" t="s">
        <v>2298</v>
      </c>
      <c r="AI59" s="5"/>
      <c r="AJ59" s="5"/>
      <c r="AK59" s="1"/>
      <c r="AL59" s="4" t="str">
        <f>IF(AF59="LEEG","LEEG",IF(TYPE(AF59)=2,IF(LEN(AF59)=2,"GOED","ONGELDIG"),"ONGELDIG"))</f>
        <v>LEEG</v>
      </c>
      <c r="AM59" s="1"/>
      <c r="AN59" s="1"/>
      <c r="AO59" s="138" t="str">
        <f>IF(AL59="GOED",AF59&amp;"|","FOUT")</f>
        <v>FOUT</v>
      </c>
      <c r="AP59" s="91">
        <f>LEN(AO59)</f>
        <v>4</v>
      </c>
      <c r="AQ59" s="674"/>
      <c r="AR59" s="678"/>
      <c r="AS59" s="684" t="str">
        <f ca="1">IF(AT59=$AR$11,$AQ$11,IF(AT59=$AR$12,$AQ$12,VLOOKUP(AT59,Voorblad!$X$67:$Z$98,2,FALSE)))</f>
        <v>Polen</v>
      </c>
      <c r="AT59" s="685" t="str">
        <f t="shared" ca="1" si="12"/>
        <v>D1</v>
      </c>
      <c r="AU59" s="684" t="str">
        <f ca="1">IF(AV59=$AR$11,$AQ$11,IF(AV59=$AR$12,$AQ$12,VLOOKUP(AV59,Voorblad!$X$67:$Z$98,2,FALSE)))</f>
        <v/>
      </c>
      <c r="AV59" s="685" t="str">
        <f t="shared" ca="1" si="13"/>
        <v>??</v>
      </c>
      <c r="AW59" s="684" t="str">
        <f ca="1">IF(AX59=$AR$11,$AQ$11,IF(AX59=$AR$12,$AQ$12,VLOOKUP(AX59,Voorblad!$X$67:$Z$98,2,FALSE)))</f>
        <v>Kroatië</v>
      </c>
      <c r="AX59" s="685" t="str">
        <f t="shared" ca="1" si="14"/>
        <v>B2</v>
      </c>
      <c r="AY59" s="684" t="str">
        <f ca="1">IF(AZ59=$AR$11,$AQ$11,IF(AZ59=$AR$12,$AQ$12,VLOOKUP(AZ59,Voorblad!$X$67:$Z$98,2,FALSE)))</f>
        <v/>
      </c>
      <c r="AZ59" s="685" t="str">
        <f t="shared" ca="1" si="15"/>
        <v>??</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v>
      </c>
      <c r="P60" s="1236"/>
      <c r="Q60" s="1236"/>
      <c r="R60" s="1236"/>
      <c r="S60" s="1236"/>
      <c r="T60" s="1236"/>
      <c r="U60" s="1236"/>
      <c r="V60" s="17"/>
      <c r="W60" s="17"/>
      <c r="X60" s="17"/>
      <c r="Y60" s="17"/>
      <c r="Z60" s="60"/>
      <c r="AA60" s="17"/>
      <c r="AB60" s="1240"/>
      <c r="AC60" s="10"/>
      <c r="AD60" s="5"/>
      <c r="AE60" s="1209" t="str">
        <f ca="1">AM112</f>
        <v/>
      </c>
      <c r="AF60" s="1209"/>
      <c r="AG60" s="5"/>
      <c r="AH60" s="5"/>
      <c r="AI60" s="5"/>
      <c r="AJ60" s="5"/>
      <c r="AK60" s="1"/>
      <c r="AL60" s="1"/>
      <c r="AM60" s="1"/>
      <c r="AN60" s="1"/>
      <c r="AO60" s="1"/>
      <c r="AP60" s="91"/>
      <c r="AQ60" s="674"/>
      <c r="AR60" s="678"/>
      <c r="AS60" s="684" t="str">
        <f ca="1">IF(AT60=$AR$11,$AQ$11,IF(AT60=$AR$12,$AQ$12,VLOOKUP(AT60,Voorblad!$X$67:$Z$98,2,FALSE)))</f>
        <v>Portugal</v>
      </c>
      <c r="AT60" s="685" t="str">
        <f t="shared" ca="1" si="12"/>
        <v>F3</v>
      </c>
      <c r="AU60" s="684" t="str">
        <f ca="1">IF(AV60=$AR$11,$AQ$11,IF(AV60=$AR$12,$AQ$12,VLOOKUP(AV60,Voorblad!$X$67:$Z$98,2,FALSE)))</f>
        <v/>
      </c>
      <c r="AV60" s="685" t="str">
        <f t="shared" ca="1" si="13"/>
        <v>??</v>
      </c>
      <c r="AW60" s="684" t="str">
        <f ca="1">IF(AX60=$AR$11,$AQ$11,IF(AX60=$AR$12,$AQ$12,VLOOKUP(AX60,Voorblad!$X$67:$Z$98,2,FALSE)))</f>
        <v>Nederland</v>
      </c>
      <c r="AX60" s="685" t="str">
        <f t="shared" ca="1" si="14"/>
        <v>D2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Roemenië</v>
      </c>
      <c r="AT61" s="685" t="str">
        <f t="shared" ca="1" si="12"/>
        <v>E3</v>
      </c>
      <c r="AU61" s="684" t="str">
        <f ca="1">IF(AV61=$AR$11,$AQ$11,IF(AV61=$AR$12,$AQ$12,VLOOKUP(AV61,Voorblad!$X$67:$Z$98,2,FALSE)))</f>
        <v/>
      </c>
      <c r="AV61" s="685" t="str">
        <f t="shared" ca="1" si="13"/>
        <v>??</v>
      </c>
      <c r="AW61" s="684" t="str">
        <f ca="1">IF(AX61=$AR$11,$AQ$11,IF(AX61=$AR$12,$AQ$12,VLOOKUP(AX61,Voorblad!$X$67:$Z$98,2,FALSE)))</f>
        <v>Oekraïne</v>
      </c>
      <c r="AX61" s="685" t="str">
        <f t="shared" ca="1" si="14"/>
        <v>E4</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IF(AI11=1,0,IF(COUNTIF(AH13:AJ57,"DUBBEL")&gt;0,1,0))</f>
        <v>0</v>
      </c>
      <c r="AK62" s="1"/>
      <c r="AL62" s="1"/>
      <c r="AM62" s="1"/>
      <c r="AN62" s="1"/>
      <c r="AO62" s="1"/>
      <c r="AP62" s="91"/>
      <c r="AQ62" s="674"/>
      <c r="AR62" s="678"/>
      <c r="AS62" s="684" t="str">
        <f ca="1">IF(AT62=$AR$11,$AQ$11,IF(AT62=$AR$12,$AQ$12,VLOOKUP(AT62,Voorblad!$X$67:$Z$98,2,FALSE)))</f>
        <v>Servië</v>
      </c>
      <c r="AT62" s="685" t="str">
        <f t="shared" ca="1" si="12"/>
        <v>C3</v>
      </c>
      <c r="AU62" s="684" t="str">
        <f ca="1">IF(AV62=$AR$11,$AQ$11,IF(AV62=$AR$12,$AQ$12,VLOOKUP(AV62,Voorblad!$X$67:$Z$98,2,FALSE)))</f>
        <v/>
      </c>
      <c r="AV62" s="685" t="str">
        <f t="shared" ca="1" si="13"/>
        <v>??</v>
      </c>
      <c r="AW62" s="684" t="str">
        <f ca="1">IF(AX62=$AR$11,$AQ$11,IF(AX62=$AR$12,$AQ$12,VLOOKUP(AX62,Voorblad!$X$67:$Z$98,2,FALSE)))</f>
        <v>Oostenrijk</v>
      </c>
      <c r="AX62" s="685" t="str">
        <f t="shared" ca="1" si="14"/>
        <v>D3</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Slovenië</v>
      </c>
      <c r="AT63" s="685" t="str">
        <f t="shared" ca="1" si="12"/>
        <v>C1</v>
      </c>
      <c r="AU63" s="684" t="str">
        <f ca="1">IF(AV63=$AR$11,$AQ$11,IF(AV63=$AR$12,$AQ$12,VLOOKUP(AV63,Voorblad!$X$67:$Z$98,2,FALSE)))</f>
        <v/>
      </c>
      <c r="AV63" s="685" t="str">
        <f t="shared" ca="1" si="13"/>
        <v>??</v>
      </c>
      <c r="AW63" s="684" t="str">
        <f ca="1">IF(AX63=$AR$11,$AQ$11,IF(AX63=$AR$12,$AQ$12,VLOOKUP(AX63,Voorblad!$X$67:$Z$98,2,FALSE)))</f>
        <v>Polen</v>
      </c>
      <c r="AX63" s="685" t="str">
        <f t="shared" ca="1" si="14"/>
        <v>D1</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SUM(AP13:AP63)</f>
        <v>64</v>
      </c>
      <c r="AQ64" s="674"/>
      <c r="AR64" s="678"/>
      <c r="AS64" s="684" t="str">
        <f ca="1">IF(AT64=$AR$11,$AQ$11,IF(AT64=$AR$12,$AQ$12,VLOOKUP(AT64,Voorblad!$X$67:$Z$98,2,FALSE)))</f>
        <v>Slowakije</v>
      </c>
      <c r="AT64" s="685" t="str">
        <f t="shared" ca="1" si="12"/>
        <v>E2</v>
      </c>
      <c r="AU64" s="684" t="str">
        <f ca="1">IF(AV64=$AR$11,$AQ$11,IF(AV64=$AR$12,$AQ$12,VLOOKUP(AV64,Voorblad!$X$67:$Z$98,2,FALSE)))</f>
        <v/>
      </c>
      <c r="AV64" s="685" t="str">
        <f t="shared" ca="1" si="13"/>
        <v>??</v>
      </c>
      <c r="AW64" s="684" t="str">
        <f ca="1">IF(AX64=$AR$11,$AQ$11,IF(AX64=$AR$12,$AQ$12,VLOOKUP(AX64,Voorblad!$X$67:$Z$98,2,FALSE)))</f>
        <v>Roemenië</v>
      </c>
      <c r="AX64" s="685" t="str">
        <f t="shared" ca="1" si="14"/>
        <v>E3</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Tsjechië</v>
      </c>
      <c r="AT65" s="685" t="str">
        <f t="shared" ca="1" si="12"/>
        <v>F4</v>
      </c>
      <c r="AU65" s="684" t="str">
        <f ca="1">IF(AV65=$AR$11,$AQ$11,IF(AV65=$AR$12,$AQ$12,VLOOKUP(AV65,Voorblad!$X$67:$Z$98,2,FALSE)))</f>
        <v/>
      </c>
      <c r="AV65" s="685" t="str">
        <f t="shared" ca="1" si="13"/>
        <v>??</v>
      </c>
      <c r="AW65" s="684" t="str">
        <f ca="1">IF(AX65=$AR$11,$AQ$11,IF(AX65=$AR$12,$AQ$12,VLOOKUP(AX65,Voorblad!$X$67:$Z$98,2,FALSE)))</f>
        <v>Schotland</v>
      </c>
      <c r="AX65" s="685" t="str">
        <f t="shared" ca="1" si="14"/>
        <v>A2</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Turkije</v>
      </c>
      <c r="AT66" s="685" t="str">
        <f t="shared" ca="1" si="12"/>
        <v>F1</v>
      </c>
      <c r="AU66" s="684" t="str">
        <f ca="1">IF(AV66=$AR$11,$AQ$11,IF(AV66=$AR$12,$AQ$12,VLOOKUP(AV66,Voorblad!$X$67:$Z$98,2,FALSE)))</f>
        <v/>
      </c>
      <c r="AV66" s="685" t="str">
        <f t="shared" ca="1" si="13"/>
        <v>??</v>
      </c>
      <c r="AW66" s="684" t="str">
        <f ca="1">IF(AX66=$AR$11,$AQ$11,IF(AX66=$AR$12,$AQ$12,VLOOKUP(AX66,Voorblad!$X$67:$Z$98,2,FALSE)))</f>
        <v>Servië</v>
      </c>
      <c r="AX66" s="685" t="str">
        <f t="shared" ca="1" si="14"/>
        <v>C3</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
      </c>
      <c r="AT67" s="685" t="str">
        <f t="shared" ca="1" si="12"/>
        <v>??</v>
      </c>
      <c r="AU67" s="684" t="str">
        <f ca="1">IF(AV67=$AR$11,$AQ$11,IF(AV67=$AR$12,$AQ$12,VLOOKUP(AV67,Voorblad!$X$67:$Z$98,2,FALSE)))</f>
        <v/>
      </c>
      <c r="AV67" s="685" t="str">
        <f t="shared" ca="1" si="13"/>
        <v>??</v>
      </c>
      <c r="AW67" s="684" t="str">
        <f ca="1">IF(AX67=$AR$11,$AQ$11,IF(AX67=$AR$12,$AQ$12,VLOOKUP(AX67,Voorblad!$X$67:$Z$98,2,FALSE)))</f>
        <v>Slovenië</v>
      </c>
      <c r="AX67" s="685" t="str">
        <f t="shared" ca="1" si="14"/>
        <v>C1</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AO14&amp;AO16&amp;AO18&amp;AO20&amp;AO22&amp;AO24&amp;AO26&amp;AO28&amp;AO36&amp;AO38&amp;AO40&amp;AO42&amp;AO46&amp;AO48&amp;IF(A50="H","",AO52)&amp;AO56&amp;AO59</f>
        <v>FOUTFOUTFOUTFOUTFOUTFOUTFOUTFOUTFOUTFOUTFOUTFOUTFOUTFOUTFOUTFOUT</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Slowakije</v>
      </c>
      <c r="AX68" s="685" t="str">
        <f t="shared" ca="1" si="14"/>
        <v>E2</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Spanje</v>
      </c>
      <c r="AX69" s="685" t="str">
        <f t="shared" ca="1" si="14"/>
        <v>B1</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LEN(AL68)</f>
        <v>64</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Zwitserland</v>
      </c>
      <c r="AX70" s="685" t="str">
        <f t="shared" ca="1" si="14"/>
        <v>A4</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AO14&amp;AO16&amp;AO18&amp;AO20&amp;AO22&amp;AO24&amp;AO26&amp;AO28&amp;AO36&amp;AO38&amp;AO40&amp;AO42&amp;AO46&amp;AO48&amp;IF(A50="H","",AO52)&amp;AO56</f>
        <v>FOUTFOUTFOUTFOUTFOUTFOUTFOUTFOUTFOUTFOUTFOUTFOUTFOUTFOUTFOUT</v>
      </c>
      <c r="AO71" s="259" t="s">
        <v>197</v>
      </c>
      <c r="AP71" s="260" t="str">
        <f>IF(LEN(SUBSTITUTE(AL68,"FOUT","ONGELDIG"))=AP70,"GOED","FOUT")</f>
        <v>FOUT</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
      </c>
      <c r="AX71" s="685" t="str">
        <f t="shared" ca="1" si="14"/>
        <v>??</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Albanië</v>
      </c>
      <c r="AT73" s="694" t="str">
        <f ca="1">RIGHT(LEFT($AK$102,$BA73),2)</f>
        <v>B4</v>
      </c>
      <c r="AU73" s="693" t="str">
        <f ca="1">IF(AV73=$AR$11,$AQ$11,IF(AV73=$AR$12,$AQ$12,VLOOKUP(AV73,Voorblad!$X$67:$Z$98,2,FALSE)))</f>
        <v>Albanië</v>
      </c>
      <c r="AV73" s="694" t="str">
        <f ca="1">RIGHT(LEFT($AL$102,$BA73),2)</f>
        <v>B4</v>
      </c>
      <c r="AW73" s="693" t="str">
        <f ca="1">IF(AX73=$AR$11,$AQ$11,IF(AX73=$AR$12,$AQ$12,VLOOKUP(AX73,Voorblad!$X$67:$Z$98,2,FALSE)))</f>
        <v>Albanië</v>
      </c>
      <c r="AX73" s="694" t="str">
        <f ca="1">RIGHT(LEFT($AK$103,$BA73),2)</f>
        <v>B4</v>
      </c>
      <c r="AY73" s="693" t="str">
        <f ca="1">IF(AZ73=$AR$11,$AQ$11,IF(AZ73=$AR$12,$AQ$12,VLOOKUP(AZ73,Voorblad!$X$67:$Z$98,2,FALSE)))</f>
        <v>Albanië</v>
      </c>
      <c r="AZ73" s="694" t="str">
        <f ca="1">RIGHT(LEFT($AL$103,$BA73),2)</f>
        <v>B4</v>
      </c>
      <c r="BA73" s="695">
        <v>2</v>
      </c>
    </row>
    <row r="74" spans="3:53" ht="15" customHeight="1" x14ac:dyDescent="0.25">
      <c r="O74" s="47"/>
      <c r="P74" s="47"/>
      <c r="AB74" s="717">
        <f>D14</f>
        <v>38</v>
      </c>
      <c r="AC74" s="1238" t="str">
        <f>Groepswedstrijden!$Z$73</f>
        <v/>
      </c>
      <c r="AD74" s="1238"/>
      <c r="AE74" s="1238" t="str">
        <f>Groepswedstrijden!$AA$73</f>
        <v/>
      </c>
      <c r="AF74" s="1238"/>
      <c r="AG74" s="1238" t="e">
        <f>#REF!</f>
        <v>#REF!</v>
      </c>
      <c r="AH74" s="1238"/>
      <c r="AI74" s="1238" t="e">
        <f>#REF!</f>
        <v>#REF!</v>
      </c>
      <c r="AJ74" s="1238"/>
      <c r="AK74" s="717" t="str">
        <f>'Eindstand Groep'!$Y$5</f>
        <v/>
      </c>
      <c r="AL74" s="717" t="str">
        <f>'Eindstand Groep'!$Z$5</f>
        <v/>
      </c>
      <c r="AM74" s="1244" t="str">
        <f t="shared" ref="AM74:AM81" si="18">IF($AG$71=1,AK74,IF($AG$67=1,AC74,IF($AG$69=1,AG74,"")))</f>
        <v/>
      </c>
      <c r="AN74" s="1244"/>
      <c r="AO74" s="614" t="str">
        <f>IF($AG$71=1,AL74,IF($AG$67=1,AE74,IF($AG$69=1,AI74,"")))</f>
        <v/>
      </c>
      <c r="AP74" s="266"/>
      <c r="AQ74" s="710" t="str">
        <f ca="1">Voorblad!AA68</f>
        <v>E1</v>
      </c>
      <c r="AR74" s="711"/>
      <c r="AS74" s="693" t="str">
        <f ca="1">IF(AT74=$AR$11,$AQ$11,IF(AT74=$AR$12,$AQ$12,VLOOKUP(AT74,Voorblad!$X$67:$Z$98,2,FALSE)))</f>
        <v>België</v>
      </c>
      <c r="AT74" s="694" t="str">
        <f t="shared" ref="AT74:AT105" ca="1" si="19">RIGHT(LEFT($AK$102,$BA74),2)</f>
        <v>E1</v>
      </c>
      <c r="AU74" s="693" t="str">
        <f ca="1">IF(AV74=$AR$11,$AQ$11,IF(AV74=$AR$12,$AQ$12,VLOOKUP(AV74,Voorblad!$X$67:$Z$98,2,FALSE)))</f>
        <v>België</v>
      </c>
      <c r="AV74" s="694" t="str">
        <f t="shared" ref="AV74:AV105" ca="1" si="20">RIGHT(LEFT($AL$102,$BA74),2)</f>
        <v>E1</v>
      </c>
      <c r="AW74" s="693" t="str">
        <f ca="1">IF(AX74=$AR$11,$AQ$11,IF(AX74=$AR$12,$AQ$12,VLOOKUP(AX74,Voorblad!$X$67:$Z$98,2,FALSE)))</f>
        <v>België</v>
      </c>
      <c r="AX74" s="694" t="str">
        <f t="shared" ref="AX74:AX105" ca="1" si="21">RIGHT(LEFT($AK$103,$BA74),2)</f>
        <v>E1</v>
      </c>
      <c r="AY74" s="693" t="str">
        <f ca="1">IF(AZ74=$AR$11,$AQ$11,IF(AZ74=$AR$12,$AQ$12,VLOOKUP(AZ74,Voorblad!$X$67:$Z$98,2,FALSE)))</f>
        <v>België</v>
      </c>
      <c r="AZ74" s="694" t="str">
        <f t="shared" ref="AZ74:AZ105" ca="1" si="22">RIGHT(LEFT($AL$103,$BA74),2)</f>
        <v>E1</v>
      </c>
      <c r="BA74" s="696">
        <f t="shared" ref="BA74:BA84" si="23">BA73+2</f>
        <v>4</v>
      </c>
    </row>
    <row r="75" spans="3:53" x14ac:dyDescent="0.25">
      <c r="O75" s="47"/>
      <c r="P75" s="47"/>
      <c r="AB75" s="718">
        <f>D16</f>
        <v>37</v>
      </c>
      <c r="AC75" s="1237" t="str">
        <f>Groepswedstrijden!$Z$72</f>
        <v/>
      </c>
      <c r="AD75" s="1237"/>
      <c r="AE75" s="1237" t="str">
        <f>Groepswedstrijden!$AB$73</f>
        <v/>
      </c>
      <c r="AF75" s="1237"/>
      <c r="AG75" s="1237" t="e">
        <f>#REF!</f>
        <v>#REF!</v>
      </c>
      <c r="AH75" s="1237"/>
      <c r="AI75" s="1237" t="e">
        <f>#REF!</f>
        <v>#REF!</v>
      </c>
      <c r="AJ75" s="1237"/>
      <c r="AK75" s="718" t="str">
        <f>'Eindstand Groep'!$Y$6</f>
        <v/>
      </c>
      <c r="AL75" s="718" t="str">
        <f>'Eindstand Groep'!$Z$6</f>
        <v/>
      </c>
      <c r="AM75" s="1245" t="str">
        <f t="shared" si="18"/>
        <v/>
      </c>
      <c r="AN75" s="1245"/>
      <c r="AO75" s="719" t="str">
        <f t="shared" ref="AO75:AO81" si="24">IF($AG$71=1,AL75,IF($AG$67=1,AE75,IF($AG$69=1,AI75,"")))</f>
        <v/>
      </c>
      <c r="AP75" s="266"/>
      <c r="AQ75" s="710" t="str">
        <f ca="1">Voorblad!AA69</f>
        <v>C2</v>
      </c>
      <c r="AR75" s="711"/>
      <c r="AS75" s="693" t="str">
        <f ca="1">IF(AT75=$AR$11,$AQ$11,IF(AT75=$AR$12,$AQ$12,VLOOKUP(AT75,Voorblad!$X$67:$Z$98,2,FALSE)))</f>
        <v>Denemarken</v>
      </c>
      <c r="AT75" s="694" t="str">
        <f t="shared" ca="1" si="19"/>
        <v>C2</v>
      </c>
      <c r="AU75" s="693" t="str">
        <f ca="1">IF(AV75=$AR$11,$AQ$11,IF(AV75=$AR$12,$AQ$12,VLOOKUP(AV75,Voorblad!$X$67:$Z$98,2,FALSE)))</f>
        <v>Denemarken</v>
      </c>
      <c r="AV75" s="694" t="str">
        <f t="shared" ca="1" si="20"/>
        <v>C2</v>
      </c>
      <c r="AW75" s="693" t="str">
        <f ca="1">IF(AX75=$AR$11,$AQ$11,IF(AX75=$AR$12,$AQ$12,VLOOKUP(AX75,Voorblad!$X$67:$Z$98,2,FALSE)))</f>
        <v>Denemarken</v>
      </c>
      <c r="AX75" s="694" t="str">
        <f t="shared" ca="1" si="21"/>
        <v>C2</v>
      </c>
      <c r="AY75" s="693" t="str">
        <f ca="1">IF(AZ75=$AR$11,$AQ$11,IF(AZ75=$AR$12,$AQ$12,VLOOKUP(AZ75,Voorblad!$X$67:$Z$98,2,FALSE)))</f>
        <v>Denemarken</v>
      </c>
      <c r="AZ75" s="694" t="str">
        <f t="shared" ca="1" si="22"/>
        <v>C2</v>
      </c>
      <c r="BA75" s="696">
        <f t="shared" si="23"/>
        <v>6</v>
      </c>
    </row>
    <row r="76" spans="3:53" x14ac:dyDescent="0.25">
      <c r="O76" s="47"/>
      <c r="P76" s="47"/>
      <c r="AB76" s="717">
        <f>D18</f>
        <v>40</v>
      </c>
      <c r="AC76" s="1238" t="str">
        <f>Groepswedstrijden!$AB$72</f>
        <v/>
      </c>
      <c r="AD76" s="1238"/>
      <c r="AE76" s="1238" t="str">
        <f>Groepswedstrijden!$AC$74&amp;Groepswedstrijden!$AD$74&amp;Groepswedstrijden!$AE$74</f>
        <v/>
      </c>
      <c r="AF76" s="1238"/>
      <c r="AG76" s="1238" t="e">
        <f>#REF!</f>
        <v>#REF!</v>
      </c>
      <c r="AH76" s="1238"/>
      <c r="AI76" s="1238" t="e">
        <f>#REF!&amp;#REF!&amp;#REF!</f>
        <v>#REF!</v>
      </c>
      <c r="AJ76" s="1238"/>
      <c r="AK76" s="717" t="str">
        <f>'Eindstand Groep'!$Y$7</f>
        <v/>
      </c>
      <c r="AL76" s="717" t="str">
        <f>'Eindstand Groep'!$Z$7</f>
        <v/>
      </c>
      <c r="AM76" s="1244" t="str">
        <f t="shared" si="18"/>
        <v/>
      </c>
      <c r="AN76" s="1244"/>
      <c r="AO76" s="614" t="str">
        <f t="shared" si="24"/>
        <v/>
      </c>
      <c r="AP76" s="266"/>
      <c r="AQ76" s="710" t="str">
        <f ca="1">Voorblad!AA70</f>
        <v>A1</v>
      </c>
      <c r="AR76" s="711"/>
      <c r="AS76" s="693" t="str">
        <f ca="1">IF(AT76=$AR$11,$AQ$11,IF(AT76=$AR$12,$AQ$12,VLOOKUP(AT76,Voorblad!$X$67:$Z$98,2,FALSE)))</f>
        <v>Duitsland</v>
      </c>
      <c r="AT76" s="694" t="str">
        <f t="shared" ca="1" si="19"/>
        <v>A1</v>
      </c>
      <c r="AU76" s="693" t="str">
        <f ca="1">IF(AV76=$AR$11,$AQ$11,IF(AV76=$AR$12,$AQ$12,VLOOKUP(AV76,Voorblad!$X$67:$Z$98,2,FALSE)))</f>
        <v>Duitsland</v>
      </c>
      <c r="AV76" s="694" t="str">
        <f t="shared" ca="1" si="20"/>
        <v>A1</v>
      </c>
      <c r="AW76" s="693" t="str">
        <f ca="1">IF(AX76=$AR$11,$AQ$11,IF(AX76=$AR$12,$AQ$12,VLOOKUP(AX76,Voorblad!$X$67:$Z$98,2,FALSE)))</f>
        <v>Duitsland</v>
      </c>
      <c r="AX76" s="694" t="str">
        <f t="shared" ca="1" si="21"/>
        <v>A1</v>
      </c>
      <c r="AY76" s="693" t="str">
        <f ca="1">IF(AZ76=$AR$11,$AQ$11,IF(AZ76=$AR$12,$AQ$12,VLOOKUP(AZ76,Voorblad!$X$67:$Z$98,2,FALSE)))</f>
        <v>Duitsland</v>
      </c>
      <c r="AZ76" s="694" t="str">
        <f t="shared" ca="1" si="22"/>
        <v>A1</v>
      </c>
      <c r="BA76" s="696">
        <f t="shared" si="23"/>
        <v>8</v>
      </c>
    </row>
    <row r="77" spans="3:53" x14ac:dyDescent="0.25">
      <c r="O77" s="47"/>
      <c r="P77" s="47"/>
      <c r="AB77" s="718">
        <f>D20</f>
        <v>39</v>
      </c>
      <c r="AC77" s="1237" t="str">
        <f>Groepswedstrijden!$AA$72</f>
        <v/>
      </c>
      <c r="AD77" s="1237"/>
      <c r="AE77" s="1237" t="str">
        <f>Groepswedstrijden!$Z$74&amp;Groepswedstrijden!$AC$74&amp;Groepswedstrijden!$AD$74&amp;Groepswedstrijden!$AE$74</f>
        <v/>
      </c>
      <c r="AF77" s="1237"/>
      <c r="AG77" s="1237" t="e">
        <f>#REF!</f>
        <v>#REF!</v>
      </c>
      <c r="AH77" s="1237"/>
      <c r="AI77" s="1237" t="e">
        <f>#REF!&amp;#REF!&amp;#REF!&amp;#REF!</f>
        <v>#REF!</v>
      </c>
      <c r="AJ77" s="1237"/>
      <c r="AK77" s="718" t="str">
        <f>'Eindstand Groep'!$Y$8</f>
        <v/>
      </c>
      <c r="AL77" s="718" t="str">
        <f>'Eindstand Groep'!$Z$8</f>
        <v/>
      </c>
      <c r="AM77" s="1245" t="str">
        <f t="shared" si="18"/>
        <v/>
      </c>
      <c r="AN77" s="1245"/>
      <c r="AO77" s="719" t="str">
        <f t="shared" si="24"/>
        <v/>
      </c>
      <c r="AP77" s="266"/>
      <c r="AQ77" s="710" t="str">
        <f ca="1">Voorblad!AA71</f>
        <v>C4</v>
      </c>
      <c r="AR77" s="711"/>
      <c r="AS77" s="693" t="str">
        <f ca="1">IF(AT77=$AR$11,$AQ$11,IF(AT77=$AR$12,$AQ$12,VLOOKUP(AT77,Voorblad!$X$67:$Z$98,2,FALSE)))</f>
        <v>Engeland</v>
      </c>
      <c r="AT77" s="694" t="str">
        <f t="shared" ca="1" si="19"/>
        <v>C4</v>
      </c>
      <c r="AU77" s="693" t="str">
        <f ca="1">IF(AV77=$AR$11,$AQ$11,IF(AV77=$AR$12,$AQ$12,VLOOKUP(AV77,Voorblad!$X$67:$Z$98,2,FALSE)))</f>
        <v>Engeland</v>
      </c>
      <c r="AV77" s="694" t="str">
        <f t="shared" ca="1" si="20"/>
        <v>C4</v>
      </c>
      <c r="AW77" s="693" t="str">
        <f ca="1">IF(AX77=$AR$11,$AQ$11,IF(AX77=$AR$12,$AQ$12,VLOOKUP(AX77,Voorblad!$X$67:$Z$98,2,FALSE)))</f>
        <v>Engeland</v>
      </c>
      <c r="AX77" s="694" t="str">
        <f t="shared" ca="1" si="21"/>
        <v>C4</v>
      </c>
      <c r="AY77" s="693" t="str">
        <f ca="1">IF(AZ77=$AR$11,$AQ$11,IF(AZ77=$AR$12,$AQ$12,VLOOKUP(AZ77,Voorblad!$X$67:$Z$98,2,FALSE)))</f>
        <v>Engeland</v>
      </c>
      <c r="AZ77" s="694" t="str">
        <f t="shared" ca="1" si="22"/>
        <v>C4</v>
      </c>
      <c r="BA77" s="696">
        <f t="shared" si="23"/>
        <v>10</v>
      </c>
    </row>
    <row r="78" spans="3:53" x14ac:dyDescent="0.25">
      <c r="O78" s="47"/>
      <c r="P78" s="47"/>
      <c r="AB78" s="717">
        <f>D22</f>
        <v>42</v>
      </c>
      <c r="AC78" s="1238" t="str">
        <f>Groepswedstrijden!$AC$73</f>
        <v/>
      </c>
      <c r="AD78" s="1238"/>
      <c r="AE78" s="1238" t="str">
        <f>Groepswedstrijden!$AD$73</f>
        <v/>
      </c>
      <c r="AF78" s="1238"/>
      <c r="AG78" s="1238" t="e">
        <f>#REF!</f>
        <v>#REF!</v>
      </c>
      <c r="AH78" s="1238"/>
      <c r="AI78" s="1238" t="e">
        <f>#REF!</f>
        <v>#REF!</v>
      </c>
      <c r="AJ78" s="1238"/>
      <c r="AK78" s="717" t="str">
        <f>'Eindstand Groep'!$Y$9</f>
        <v/>
      </c>
      <c r="AL78" s="717" t="str">
        <f>'Eindstand Groep'!$Z$9</f>
        <v/>
      </c>
      <c r="AM78" s="1244" t="str">
        <f t="shared" si="18"/>
        <v/>
      </c>
      <c r="AN78" s="1244"/>
      <c r="AO78" s="614" t="str">
        <f t="shared" si="24"/>
        <v/>
      </c>
      <c r="AP78" s="266"/>
      <c r="AQ78" s="710" t="str">
        <f ca="1">Voorblad!AA72</f>
        <v>D4</v>
      </c>
      <c r="AR78" s="711"/>
      <c r="AS78" s="693" t="str">
        <f ca="1">IF(AT78=$AR$11,$AQ$11,IF(AT78=$AR$12,$AQ$12,VLOOKUP(AT78,Voorblad!$X$67:$Z$98,2,FALSE)))</f>
        <v>Frankrijk</v>
      </c>
      <c r="AT78" s="694" t="str">
        <f t="shared" ca="1" si="19"/>
        <v>D4</v>
      </c>
      <c r="AU78" s="693" t="str">
        <f ca="1">IF(AV78=$AR$11,$AQ$11,IF(AV78=$AR$12,$AQ$12,VLOOKUP(AV78,Voorblad!$X$67:$Z$98,2,FALSE)))</f>
        <v>Frankrijk</v>
      </c>
      <c r="AV78" s="694" t="str">
        <f t="shared" ca="1" si="20"/>
        <v>D4</v>
      </c>
      <c r="AW78" s="693" t="str">
        <f ca="1">IF(AX78=$AR$11,$AQ$11,IF(AX78=$AR$12,$AQ$12,VLOOKUP(AX78,Voorblad!$X$67:$Z$98,2,FALSE)))</f>
        <v>Frankrijk</v>
      </c>
      <c r="AX78" s="694" t="str">
        <f t="shared" ca="1" si="21"/>
        <v>D4</v>
      </c>
      <c r="AY78" s="693" t="str">
        <f ca="1">IF(AZ78=$AR$11,$AQ$11,IF(AZ78=$AR$12,$AQ$12,VLOOKUP(AZ78,Voorblad!$X$67:$Z$98,2,FALSE)))</f>
        <v>Frankrijk</v>
      </c>
      <c r="AZ78" s="694" t="str">
        <f t="shared" ca="1" si="22"/>
        <v>D4</v>
      </c>
      <c r="BA78" s="696">
        <f t="shared" si="23"/>
        <v>12</v>
      </c>
    </row>
    <row r="79" spans="3:53" x14ac:dyDescent="0.25">
      <c r="O79" s="47"/>
      <c r="P79" s="47"/>
      <c r="AB79" s="718">
        <f>D24</f>
        <v>41</v>
      </c>
      <c r="AC79" s="1237" t="str">
        <f>Groepswedstrijden!$AE$72</f>
        <v/>
      </c>
      <c r="AD79" s="1237"/>
      <c r="AE79" s="1237" t="str">
        <f>Groepswedstrijden!$Z$74&amp;Groepswedstrijden!$AA$74&amp;Groepswedstrijden!$AB$74</f>
        <v/>
      </c>
      <c r="AF79" s="1237"/>
      <c r="AG79" s="1237" t="e">
        <f>#REF!</f>
        <v>#REF!</v>
      </c>
      <c r="AH79" s="1237"/>
      <c r="AI79" s="1237" t="e">
        <f>#REF!&amp;#REF!&amp;#REF!</f>
        <v>#REF!</v>
      </c>
      <c r="AJ79" s="1237"/>
      <c r="AK79" s="718" t="str">
        <f>'Eindstand Groep'!$Y$10</f>
        <v/>
      </c>
      <c r="AL79" s="718" t="str">
        <f>'Eindstand Groep'!$Z$10</f>
        <v/>
      </c>
      <c r="AM79" s="1245" t="str">
        <f t="shared" si="18"/>
        <v/>
      </c>
      <c r="AN79" s="1245"/>
      <c r="AO79" s="719" t="str">
        <f t="shared" si="24"/>
        <v/>
      </c>
      <c r="AP79" s="266"/>
      <c r="AQ79" s="710" t="str">
        <f ca="1">Voorblad!AA73</f>
        <v>F2</v>
      </c>
      <c r="AR79" s="711"/>
      <c r="AS79" s="693" t="str">
        <f ca="1">IF(AT79=$AR$11,$AQ$11,IF(AT79=$AR$12,$AQ$12,VLOOKUP(AT79,Voorblad!$X$67:$Z$98,2,FALSE)))</f>
        <v>Georgië</v>
      </c>
      <c r="AT79" s="694" t="str">
        <f t="shared" ca="1" si="19"/>
        <v>F2</v>
      </c>
      <c r="AU79" s="693" t="str">
        <f ca="1">IF(AV79=$AR$11,$AQ$11,IF(AV79=$AR$12,$AQ$12,VLOOKUP(AV79,Voorblad!$X$67:$Z$98,2,FALSE)))</f>
        <v>Georgië</v>
      </c>
      <c r="AV79" s="694" t="str">
        <f t="shared" ca="1" si="20"/>
        <v>F2</v>
      </c>
      <c r="AW79" s="693" t="str">
        <f ca="1">IF(AX79=$AR$11,$AQ$11,IF(AX79=$AR$12,$AQ$12,VLOOKUP(AX79,Voorblad!$X$67:$Z$98,2,FALSE)))</f>
        <v>Georgië</v>
      </c>
      <c r="AX79" s="694" t="str">
        <f t="shared" ca="1" si="21"/>
        <v>F2</v>
      </c>
      <c r="AY79" s="693" t="str">
        <f ca="1">IF(AZ79=$AR$11,$AQ$11,IF(AZ79=$AR$12,$AQ$12,VLOOKUP(AZ79,Voorblad!$X$67:$Z$98,2,FALSE)))</f>
        <v>Georgië</v>
      </c>
      <c r="AZ79" s="694" t="str">
        <f t="shared" ca="1" si="22"/>
        <v>F2</v>
      </c>
      <c r="BA79" s="696">
        <f t="shared" si="23"/>
        <v>14</v>
      </c>
    </row>
    <row r="80" spans="3:53" x14ac:dyDescent="0.25">
      <c r="AB80" s="717">
        <f>D26</f>
        <v>43</v>
      </c>
      <c r="AC80" s="1238" t="str">
        <f>Groepswedstrijden!$AD$72</f>
        <v/>
      </c>
      <c r="AD80" s="1238"/>
      <c r="AE80" s="1238" t="str">
        <f>Groepswedstrijden!$Z$74&amp;Groepswedstrijden!$AA$74&amp;Groepswedstrijden!$AB$74&amp;Groepswedstrijden!$AC$74</f>
        <v/>
      </c>
      <c r="AF80" s="1238"/>
      <c r="AG80" s="1238" t="e">
        <f>#REF!</f>
        <v>#REF!</v>
      </c>
      <c r="AH80" s="1238"/>
      <c r="AI80" s="1238" t="e">
        <f>#REF!&amp;#REF!&amp;#REF!&amp;#REF!</f>
        <v>#REF!</v>
      </c>
      <c r="AJ80" s="1238"/>
      <c r="AK80" s="717" t="str">
        <f>'Eindstand Groep'!$Y$11</f>
        <v/>
      </c>
      <c r="AL80" s="717" t="str">
        <f>'Eindstand Groep'!$Z$11</f>
        <v/>
      </c>
      <c r="AM80" s="1244" t="str">
        <f t="shared" si="18"/>
        <v/>
      </c>
      <c r="AN80" s="1244"/>
      <c r="AO80" s="614" t="str">
        <f t="shared" si="24"/>
        <v/>
      </c>
      <c r="AP80" s="266"/>
      <c r="AQ80" s="710" t="str">
        <f ca="1">Voorblad!AA74</f>
        <v>A3</v>
      </c>
      <c r="AR80" s="711"/>
      <c r="AS80" s="693" t="str">
        <f ca="1">IF(AT80=$AR$11,$AQ$11,IF(AT80=$AR$12,$AQ$12,VLOOKUP(AT80,Voorblad!$X$67:$Z$98,2,FALSE)))</f>
        <v>Hongarije</v>
      </c>
      <c r="AT80" s="694" t="str">
        <f t="shared" ca="1" si="19"/>
        <v>A3</v>
      </c>
      <c r="AU80" s="693" t="str">
        <f ca="1">IF(AV80=$AR$11,$AQ$11,IF(AV80=$AR$12,$AQ$12,VLOOKUP(AV80,Voorblad!$X$67:$Z$98,2,FALSE)))</f>
        <v>Hongarije</v>
      </c>
      <c r="AV80" s="694" t="str">
        <f t="shared" ca="1" si="20"/>
        <v>A3</v>
      </c>
      <c r="AW80" s="693" t="str">
        <f ca="1">IF(AX80=$AR$11,$AQ$11,IF(AX80=$AR$12,$AQ$12,VLOOKUP(AX80,Voorblad!$X$67:$Z$98,2,FALSE)))</f>
        <v>Hongarije</v>
      </c>
      <c r="AX80" s="694" t="str">
        <f t="shared" ca="1" si="21"/>
        <v>A3</v>
      </c>
      <c r="AY80" s="693" t="str">
        <f ca="1">IF(AZ80=$AR$11,$AQ$11,IF(AZ80=$AR$12,$AQ$12,VLOOKUP(AZ80,Voorblad!$X$67:$Z$98,2,FALSE)))</f>
        <v>Hongarije</v>
      </c>
      <c r="AZ80" s="694" t="str">
        <f t="shared" ca="1" si="22"/>
        <v>A3</v>
      </c>
      <c r="BA80" s="696">
        <f t="shared" si="23"/>
        <v>16</v>
      </c>
    </row>
    <row r="81" spans="21:53" x14ac:dyDescent="0.25">
      <c r="AB81" s="718">
        <f>D28</f>
        <v>44</v>
      </c>
      <c r="AC81" s="1237" t="str">
        <f>Groepswedstrijden!$AC$72</f>
        <v/>
      </c>
      <c r="AD81" s="1237"/>
      <c r="AE81" s="1237" t="str">
        <f>Groepswedstrijden!$AE$73</f>
        <v/>
      </c>
      <c r="AF81" s="1237"/>
      <c r="AG81" s="1237" t="e">
        <f>#REF!</f>
        <v>#REF!</v>
      </c>
      <c r="AH81" s="1237"/>
      <c r="AI81" s="1237" t="e">
        <f>#REF!</f>
        <v>#REF!</v>
      </c>
      <c r="AJ81" s="1237"/>
      <c r="AK81" s="718" t="str">
        <f>'Eindstand Groep'!$Y$12</f>
        <v/>
      </c>
      <c r="AL81" s="718" t="str">
        <f>'Eindstand Groep'!$Z$12</f>
        <v/>
      </c>
      <c r="AM81" s="1245" t="str">
        <f t="shared" si="18"/>
        <v/>
      </c>
      <c r="AN81" s="1245"/>
      <c r="AO81" s="719" t="str">
        <f t="shared" si="24"/>
        <v/>
      </c>
      <c r="AP81" s="266"/>
      <c r="AQ81" s="710" t="str">
        <f ca="1">Voorblad!AA75</f>
        <v>B3</v>
      </c>
      <c r="AR81" s="711"/>
      <c r="AS81" s="693" t="str">
        <f ca="1">IF(AT81=$AR$11,$AQ$11,IF(AT81=$AR$12,$AQ$12,VLOOKUP(AT81,Voorblad!$X$67:$Z$98,2,FALSE)))</f>
        <v>Italië</v>
      </c>
      <c r="AT81" s="694" t="str">
        <f t="shared" ca="1" si="19"/>
        <v>B3</v>
      </c>
      <c r="AU81" s="693" t="str">
        <f ca="1">IF(AV81=$AR$11,$AQ$11,IF(AV81=$AR$12,$AQ$12,VLOOKUP(AV81,Voorblad!$X$67:$Z$98,2,FALSE)))</f>
        <v>Italië</v>
      </c>
      <c r="AV81" s="694" t="str">
        <f t="shared" ca="1" si="20"/>
        <v>B3</v>
      </c>
      <c r="AW81" s="693" t="str">
        <f ca="1">IF(AX81=$AR$11,$AQ$11,IF(AX81=$AR$12,$AQ$12,VLOOKUP(AX81,Voorblad!$X$67:$Z$98,2,FALSE)))</f>
        <v>Italië</v>
      </c>
      <c r="AX81" s="694" t="str">
        <f t="shared" ca="1" si="21"/>
        <v>B3</v>
      </c>
      <c r="AY81" s="693" t="str">
        <f ca="1">IF(AZ81=$AR$11,$AQ$11,IF(AZ81=$AR$12,$AQ$12,VLOOKUP(AZ81,Voorblad!$X$67:$Z$98,2,FALSE)))</f>
        <v>Italië</v>
      </c>
      <c r="AZ81" s="694" t="str">
        <f t="shared" ca="1" si="22"/>
        <v>B3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Kroatië</v>
      </c>
      <c r="AT82" s="694" t="str">
        <f t="shared" ca="1" si="19"/>
        <v>B2</v>
      </c>
      <c r="AU82" s="693" t="str">
        <f ca="1">IF(AV82=$AR$11,$AQ$11,IF(AV82=$AR$12,$AQ$12,VLOOKUP(AV82,Voorblad!$X$67:$Z$98,2,FALSE)))</f>
        <v>Kroatië</v>
      </c>
      <c r="AV82" s="694" t="str">
        <f t="shared" ca="1" si="20"/>
        <v>B2</v>
      </c>
      <c r="AW82" s="693" t="str">
        <f ca="1">IF(AX82=$AR$11,$AQ$11,IF(AX82=$AR$12,$AQ$12,VLOOKUP(AX82,Voorblad!$X$67:$Z$98,2,FALSE)))</f>
        <v>Kroatië</v>
      </c>
      <c r="AX82" s="694" t="str">
        <f t="shared" ca="1" si="21"/>
        <v>B2</v>
      </c>
      <c r="AY82" s="693" t="str">
        <f ca="1">IF(AZ82=$AR$11,$AQ$11,IF(AZ82=$AR$12,$AQ$12,VLOOKUP(AZ82,Voorblad!$X$67:$Z$98,2,FALSE)))</f>
        <v>Kroatië</v>
      </c>
      <c r="AZ82" s="694" t="str">
        <f t="shared" ca="1" si="22"/>
        <v>B2</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Nederland</v>
      </c>
      <c r="AT83" s="694" t="str">
        <f t="shared" ca="1" si="19"/>
        <v>D2</v>
      </c>
      <c r="AU83" s="693" t="str">
        <f ca="1">IF(AV83=$AR$11,$AQ$11,IF(AV83=$AR$12,$AQ$12,VLOOKUP(AV83,Voorblad!$X$67:$Z$98,2,FALSE)))</f>
        <v>Nederland</v>
      </c>
      <c r="AV83" s="694" t="str">
        <f t="shared" ca="1" si="20"/>
        <v>D2</v>
      </c>
      <c r="AW83" s="693" t="str">
        <f ca="1">IF(AX83=$AR$11,$AQ$11,IF(AX83=$AR$12,$AQ$12,VLOOKUP(AX83,Voorblad!$X$67:$Z$98,2,FALSE)))</f>
        <v>Nederland</v>
      </c>
      <c r="AX83" s="694" t="str">
        <f t="shared" ca="1" si="21"/>
        <v>D2</v>
      </c>
      <c r="AY83" s="693" t="str">
        <f ca="1">IF(AZ83=$AR$11,$AQ$11,IF(AZ83=$AR$12,$AQ$12,VLOOKUP(AZ83,Voorblad!$X$67:$Z$98,2,FALSE)))</f>
        <v>Nederland</v>
      </c>
      <c r="AZ83" s="694" t="str">
        <f t="shared" ca="1" si="22"/>
        <v>D2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Oekraïne</v>
      </c>
      <c r="AT84" s="694" t="str">
        <f t="shared" ca="1" si="19"/>
        <v>E4</v>
      </c>
      <c r="AU84" s="693" t="str">
        <f ca="1">IF(AV84=$AR$11,$AQ$11,IF(AV84=$AR$12,$AQ$12,VLOOKUP(AV84,Voorblad!$X$67:$Z$98,2,FALSE)))</f>
        <v>Oekraïne</v>
      </c>
      <c r="AV84" s="694" t="str">
        <f t="shared" ca="1" si="20"/>
        <v>E4</v>
      </c>
      <c r="AW84" s="693" t="str">
        <f ca="1">IF(AX84=$AR$11,$AQ$11,IF(AX84=$AR$12,$AQ$12,VLOOKUP(AX84,Voorblad!$X$67:$Z$98,2,FALSE)))</f>
        <v>Oekraïne</v>
      </c>
      <c r="AX84" s="694" t="str">
        <f t="shared" ca="1" si="21"/>
        <v>E4</v>
      </c>
      <c r="AY84" s="693" t="str">
        <f ca="1">IF(AZ84=$AR$11,$AQ$11,IF(AZ84=$AR$12,$AQ$12,VLOOKUP(AZ84,Voorblad!$X$67:$Z$98,2,FALSE)))</f>
        <v>Oekraïne</v>
      </c>
      <c r="AZ84" s="694" t="str">
        <f t="shared" ca="1" si="22"/>
        <v>E4</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Oostenrijk</v>
      </c>
      <c r="AT85" s="694" t="str">
        <f t="shared" ca="1" si="19"/>
        <v>D3</v>
      </c>
      <c r="AU85" s="693" t="str">
        <f ca="1">IF(AV85=$AR$11,$AQ$11,IF(AV85=$AR$12,$AQ$12,VLOOKUP(AV85,Voorblad!$X$67:$Z$98,2,FALSE)))</f>
        <v>Oostenrijk</v>
      </c>
      <c r="AV85" s="694" t="str">
        <f t="shared" ca="1" si="20"/>
        <v>D3</v>
      </c>
      <c r="AW85" s="693" t="str">
        <f ca="1">IF(AX85=$AR$11,$AQ$11,IF(AX85=$AR$12,$AQ$12,VLOOKUP(AX85,Voorblad!$X$67:$Z$98,2,FALSE)))</f>
        <v>Oostenrijk</v>
      </c>
      <c r="AX85" s="694" t="str">
        <f t="shared" ca="1" si="21"/>
        <v>D3</v>
      </c>
      <c r="AY85" s="693" t="str">
        <f ca="1">IF(AZ85=$AR$11,$AQ$11,IF(AZ85=$AR$12,$AQ$12,VLOOKUP(AZ85,Voorblad!$X$67:$Z$98,2,FALSE)))</f>
        <v>Oostenrijk</v>
      </c>
      <c r="AZ85" s="694" t="str">
        <f t="shared" ca="1" si="22"/>
        <v>D3</v>
      </c>
      <c r="BA85" s="696">
        <f t="shared" ref="BA85:BA105" si="27">BA84+2</f>
        <v>26</v>
      </c>
    </row>
    <row r="86" spans="21:53" x14ac:dyDescent="0.25">
      <c r="AB86" s="717">
        <f t="shared" ref="AB86:AB93" si="28">AB74</f>
        <v>38</v>
      </c>
      <c r="AC86" s="1238" t="str">
        <f>AM74</f>
        <v/>
      </c>
      <c r="AD86" s="1238"/>
      <c r="AE86" s="1238" t="str">
        <f t="shared" si="26"/>
        <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
      </c>
      <c r="AN86" s="1238"/>
      <c r="AO86" s="728" t="str">
        <f ca="1">IF(AI86="","",IF(LEN(AI86)&gt;=2,VLOOKUP(LEFT(AI86,2),Voorblad!$X$67:$Y$98,2)&amp;IF(LEN(AI86)&gt;=4," / "&amp;VLOOKUP(RIGHT(LEFT(AI86,4),2),Voorblad!$X$67:$Y$98,2)&amp;IF(LEN(AI86)&gt;=6," / "&amp;VLOOKUP(RIGHT(LEFT(AI86,6),2),Voorblad!$X$67:$Y$98,2)&amp;IF(LEN(AI86)&gt;=8," / "&amp;VLOOKUP(RIGHT(LEFT(AI86,8),2),Voorblad!$X$67:$Y$98,2),""),""),""),""))</f>
        <v/>
      </c>
      <c r="AP86" s="266" t="s">
        <v>322</v>
      </c>
      <c r="AQ86" s="710" t="str">
        <f ca="1">Voorblad!AA80</f>
        <v>D1</v>
      </c>
      <c r="AR86" s="711"/>
      <c r="AS86" s="693" t="str">
        <f ca="1">IF(AT86=$AR$11,$AQ$11,IF(AT86=$AR$12,$AQ$12,VLOOKUP(AT86,Voorblad!$X$67:$Z$98,2,FALSE)))</f>
        <v>Polen</v>
      </c>
      <c r="AT86" s="694" t="str">
        <f t="shared" ca="1" si="19"/>
        <v>D1</v>
      </c>
      <c r="AU86" s="693" t="str">
        <f ca="1">IF(AV86=$AR$11,$AQ$11,IF(AV86=$AR$12,$AQ$12,VLOOKUP(AV86,Voorblad!$X$67:$Z$98,2,FALSE)))</f>
        <v>Polen</v>
      </c>
      <c r="AV86" s="694" t="str">
        <f t="shared" ca="1" si="20"/>
        <v>D1</v>
      </c>
      <c r="AW86" s="693" t="str">
        <f ca="1">IF(AX86=$AR$11,$AQ$11,IF(AX86=$AR$12,$AQ$12,VLOOKUP(AX86,Voorblad!$X$67:$Z$98,2,FALSE)))</f>
        <v>Polen</v>
      </c>
      <c r="AX86" s="694" t="str">
        <f t="shared" ca="1" si="21"/>
        <v>D1</v>
      </c>
      <c r="AY86" s="693" t="str">
        <f ca="1">IF(AZ86=$AR$11,$AQ$11,IF(AZ86=$AR$12,$AQ$12,VLOOKUP(AZ86,Voorblad!$X$67:$Z$98,2,FALSE)))</f>
        <v>Polen</v>
      </c>
      <c r="AZ86" s="694" t="str">
        <f t="shared" ca="1" si="22"/>
        <v>D1</v>
      </c>
      <c r="BA86" s="696">
        <f t="shared" si="27"/>
        <v>28</v>
      </c>
    </row>
    <row r="87" spans="21:53" x14ac:dyDescent="0.25">
      <c r="AB87" s="718">
        <f t="shared" si="28"/>
        <v>37</v>
      </c>
      <c r="AC87" s="1237" t="str">
        <f t="shared" si="25"/>
        <v/>
      </c>
      <c r="AD87" s="1237"/>
      <c r="AE87" s="1237" t="str">
        <f t="shared" si="26"/>
        <v/>
      </c>
      <c r="AF87" s="1237"/>
      <c r="AG87" s="1237" t="str">
        <f t="shared" ca="1" si="29"/>
        <v/>
      </c>
      <c r="AH87" s="1237"/>
      <c r="AI87" s="1237" t="str">
        <f t="shared" ca="1" si="30"/>
        <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
      </c>
      <c r="AN87" s="1237"/>
      <c r="AO87" s="729" t="str">
        <f ca="1">IF(AI87="","",IF(LEN(AI87)&gt;=2,VLOOKUP(LEFT(AI87,2),Voorblad!$X$67:$Y$98,2)&amp;IF(LEN(AI87)&gt;=4," / "&amp;VLOOKUP(RIGHT(LEFT(AI87,4),2),Voorblad!$X$67:$Y$98,2)&amp;IF(LEN(AI87)&gt;=6," / "&amp;VLOOKUP(RIGHT(LEFT(AI87,6),2),Voorblad!$X$67:$Y$98,2)&amp;IF(LEN(AI87)&gt;=8," / "&amp;VLOOKUP(RIGHT(LEFT(AI87,8),2),Voorblad!$X$67:$Y$98,2),""),""),""),""))</f>
        <v/>
      </c>
      <c r="AP87" s="266" t="s">
        <v>322</v>
      </c>
      <c r="AQ87" s="710" t="str">
        <f ca="1">Voorblad!AA81</f>
        <v>F3</v>
      </c>
      <c r="AR87" s="711"/>
      <c r="AS87" s="693" t="str">
        <f ca="1">IF(AT87=$AR$11,$AQ$11,IF(AT87=$AR$12,$AQ$12,VLOOKUP(AT87,Voorblad!$X$67:$Z$98,2,FALSE)))</f>
        <v>Portugal</v>
      </c>
      <c r="AT87" s="694" t="str">
        <f t="shared" ca="1" si="19"/>
        <v>F3</v>
      </c>
      <c r="AU87" s="693" t="str">
        <f ca="1">IF(AV87=$AR$11,$AQ$11,IF(AV87=$AR$12,$AQ$12,VLOOKUP(AV87,Voorblad!$X$67:$Z$98,2,FALSE)))</f>
        <v>Portugal</v>
      </c>
      <c r="AV87" s="694" t="str">
        <f t="shared" ca="1" si="20"/>
        <v>F3</v>
      </c>
      <c r="AW87" s="693" t="str">
        <f ca="1">IF(AX87=$AR$11,$AQ$11,IF(AX87=$AR$12,$AQ$12,VLOOKUP(AX87,Voorblad!$X$67:$Z$98,2,FALSE)))</f>
        <v>Portugal</v>
      </c>
      <c r="AX87" s="694" t="str">
        <f t="shared" ca="1" si="21"/>
        <v>F3</v>
      </c>
      <c r="AY87" s="693" t="str">
        <f ca="1">IF(AZ87=$AR$11,$AQ$11,IF(AZ87=$AR$12,$AQ$12,VLOOKUP(AZ87,Voorblad!$X$67:$Z$98,2,FALSE)))</f>
        <v>Portugal</v>
      </c>
      <c r="AZ87" s="694" t="str">
        <f t="shared" ca="1" si="22"/>
        <v>F3</v>
      </c>
      <c r="BA87" s="696">
        <f t="shared" si="27"/>
        <v>30</v>
      </c>
    </row>
    <row r="88" spans="21:53" x14ac:dyDescent="0.25">
      <c r="U88" s="217"/>
      <c r="AB88" s="717">
        <f t="shared" si="28"/>
        <v>40</v>
      </c>
      <c r="AC88" s="1238" t="str">
        <f t="shared" si="25"/>
        <v/>
      </c>
      <c r="AD88" s="1238"/>
      <c r="AE88" s="1238" t="str">
        <f t="shared" si="26"/>
        <v/>
      </c>
      <c r="AF88" s="1238"/>
      <c r="AG88" s="1238" t="str">
        <f t="shared" ca="1" si="29"/>
        <v/>
      </c>
      <c r="AH88" s="1238"/>
      <c r="AI88" s="1238" t="str">
        <f t="shared" ca="1" si="30"/>
        <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E1D4F2D2E4D3D1F3E3E2F4F1????????????????????????????????????????????????????????????????</v>
      </c>
      <c r="AM88" s="1238" t="str">
        <f ca="1">IF(AG88="","",IF(LEN(AG88)&gt;=2,VLOOKUP(LEFT(AG88,2),Voorblad!$X$67:$Y$98,2)&amp;IF(LEN(AG88)&gt;=4," / "&amp;VLOOKUP(RIGHT(LEFT(AG88,4),2),Voorblad!$X$67:$Y$98,2)&amp;IF(LEN(AG88)&gt;=6," / "&amp;VLOOKUP(RIGHT(LEFT(AG88,6),2),Voorblad!$X$67:$Y$98,2)&amp;IF(LEN(AG88)&gt;=8," / "&amp;VLOOKUP(RIGHT(LEFT(AG88,8),2),Voorblad!$X$67:$Y$98,2),""),""),""),""))</f>
        <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
      </c>
      <c r="AP88" s="266" t="s">
        <v>322</v>
      </c>
      <c r="AQ88" s="710" t="str">
        <f ca="1">Voorblad!AA82</f>
        <v>E3</v>
      </c>
      <c r="AR88" s="711"/>
      <c r="AS88" s="693" t="str">
        <f ca="1">IF(AT88=$AR$11,$AQ$11,IF(AT88=$AR$12,$AQ$12,VLOOKUP(AT88,Voorblad!$X$67:$Z$98,2,FALSE)))</f>
        <v>Roemenië</v>
      </c>
      <c r="AT88" s="694" t="str">
        <f t="shared" ca="1" si="19"/>
        <v>E3</v>
      </c>
      <c r="AU88" s="693" t="str">
        <f ca="1">IF(AV88=$AR$11,$AQ$11,IF(AV88=$AR$12,$AQ$12,VLOOKUP(AV88,Voorblad!$X$67:$Z$98,2,FALSE)))</f>
        <v>Roemenië</v>
      </c>
      <c r="AV88" s="694" t="str">
        <f t="shared" ca="1" si="20"/>
        <v>E3</v>
      </c>
      <c r="AW88" s="693" t="str">
        <f ca="1">IF(AX88=$AR$11,$AQ$11,IF(AX88=$AR$12,$AQ$12,VLOOKUP(AX88,Voorblad!$X$67:$Z$98,2,FALSE)))</f>
        <v>Roemenië</v>
      </c>
      <c r="AX88" s="694" t="str">
        <f t="shared" ca="1" si="21"/>
        <v>E3</v>
      </c>
      <c r="AY88" s="693" t="str">
        <f ca="1">IF(AZ88=$AR$11,$AQ$11,IF(AZ88=$AR$12,$AQ$12,VLOOKUP(AZ88,Voorblad!$X$67:$Z$98,2,FALSE)))</f>
        <v>Roemenië</v>
      </c>
      <c r="AZ88" s="694" t="str">
        <f t="shared" ca="1" si="22"/>
        <v>E3</v>
      </c>
      <c r="BA88" s="696">
        <f t="shared" si="27"/>
        <v>32</v>
      </c>
    </row>
    <row r="89" spans="21:53" x14ac:dyDescent="0.25">
      <c r="U89" s="217"/>
      <c r="AB89" s="718">
        <f t="shared" si="28"/>
        <v>39</v>
      </c>
      <c r="AC89" s="1237" t="str">
        <f t="shared" si="25"/>
        <v/>
      </c>
      <c r="AD89" s="1237"/>
      <c r="AE89" s="1237" t="str">
        <f t="shared" si="26"/>
        <v/>
      </c>
      <c r="AF89" s="1237"/>
      <c r="AG89" s="1237" t="str">
        <f t="shared" ca="1" si="29"/>
        <v/>
      </c>
      <c r="AH89" s="1237"/>
      <c r="AI89" s="1237" t="str">
        <f t="shared" ca="1" si="30"/>
        <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E1A1D4F2A3D2E4D3D1F3E3A2E2F4F1A4????????????????????????????????????????????????????????????????</v>
      </c>
      <c r="AM89" s="1237" t="str">
        <f ca="1">IF(AG89="","",IF(LEN(AG89)&gt;=2,VLOOKUP(LEFT(AG89,2),Voorblad!$X$67:$Y$98,2)&amp;IF(LEN(AG89)&gt;=4," / "&amp;VLOOKUP(RIGHT(LEFT(AG89,4),2),Voorblad!$X$67:$Y$98,2)&amp;IF(LEN(AG89)&gt;=6," / "&amp;VLOOKUP(RIGHT(LEFT(AG89,6),2),Voorblad!$X$67:$Y$98,2)&amp;IF(LEN(AG89)&gt;=8," / "&amp;VLOOKUP(RIGHT(LEFT(AG89,8),2),Voorblad!$X$67:$Y$98,2),""),""),""),""))</f>
        <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
      </c>
      <c r="AP89" s="266" t="s">
        <v>322</v>
      </c>
      <c r="AQ89" s="710" t="str">
        <f ca="1">Voorblad!AA83</f>
        <v>A2</v>
      </c>
      <c r="AR89" s="711"/>
      <c r="AS89" s="693" t="str">
        <f ca="1">IF(AT89=$AR$11,$AQ$11,IF(AT89=$AR$12,$AQ$12,VLOOKUP(AT89,Voorblad!$X$67:$Z$98,2,FALSE)))</f>
        <v>Schotland</v>
      </c>
      <c r="AT89" s="694" t="str">
        <f t="shared" ca="1" si="19"/>
        <v>A2</v>
      </c>
      <c r="AU89" s="693" t="str">
        <f ca="1">IF(AV89=$AR$11,$AQ$11,IF(AV89=$AR$12,$AQ$12,VLOOKUP(AV89,Voorblad!$X$67:$Z$98,2,FALSE)))</f>
        <v>Schotland</v>
      </c>
      <c r="AV89" s="694" t="str">
        <f t="shared" ca="1" si="20"/>
        <v>A2</v>
      </c>
      <c r="AW89" s="693" t="str">
        <f ca="1">IF(AX89=$AR$11,$AQ$11,IF(AX89=$AR$12,$AQ$12,VLOOKUP(AX89,Voorblad!$X$67:$Z$98,2,FALSE)))</f>
        <v>Schotland</v>
      </c>
      <c r="AX89" s="694" t="str">
        <f t="shared" ca="1" si="21"/>
        <v>A2</v>
      </c>
      <c r="AY89" s="693" t="str">
        <f ca="1">IF(AZ89=$AR$11,$AQ$11,IF(AZ89=$AR$12,$AQ$12,VLOOKUP(AZ89,Voorblad!$X$67:$Z$98,2,FALSE)))</f>
        <v>Schotland</v>
      </c>
      <c r="AZ89" s="694" t="str">
        <f t="shared" ca="1" si="22"/>
        <v>A2</v>
      </c>
      <c r="BA89" s="696">
        <f t="shared" si="27"/>
        <v>34</v>
      </c>
    </row>
    <row r="90" spans="21:53" x14ac:dyDescent="0.25">
      <c r="U90" s="217"/>
      <c r="AB90" s="717">
        <f t="shared" si="28"/>
        <v>42</v>
      </c>
      <c r="AC90" s="1238" t="str">
        <f t="shared" si="25"/>
        <v/>
      </c>
      <c r="AD90" s="1238"/>
      <c r="AE90" s="1238" t="str">
        <f t="shared" si="26"/>
        <v/>
      </c>
      <c r="AF90" s="1238"/>
      <c r="AG90" s="1238" t="str">
        <f t="shared" ca="1" si="29"/>
        <v/>
      </c>
      <c r="AH90" s="1238"/>
      <c r="AI90" s="1238" t="str">
        <f t="shared" ca="1" si="30"/>
        <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
      </c>
      <c r="AN90" s="1238"/>
      <c r="AO90" s="728" t="str">
        <f ca="1">IF(AI90="","",IF(LEN(AI90)&gt;=2,VLOOKUP(LEFT(AI90,2),Voorblad!$X$67:$Y$98,2)&amp;IF(LEN(AI90)&gt;=4," / "&amp;VLOOKUP(RIGHT(LEFT(AI90,4),2),Voorblad!$X$67:$Y$98,2)&amp;IF(LEN(AI90)&gt;=6," / "&amp;VLOOKUP(RIGHT(LEFT(AI90,6),2),Voorblad!$X$67:$Y$98,2)&amp;IF(LEN(AI90)&gt;=8," / "&amp;VLOOKUP(RIGHT(LEFT(AI90,8),2),Voorblad!$X$67:$Y$98,2),""),""),""),""))</f>
        <v/>
      </c>
      <c r="AP90" s="266" t="s">
        <v>322</v>
      </c>
      <c r="AQ90" s="710" t="str">
        <f ca="1">Voorblad!AA84</f>
        <v>C3</v>
      </c>
      <c r="AR90" s="711"/>
      <c r="AS90" s="693" t="str">
        <f ca="1">IF(AT90=$AR$11,$AQ$11,IF(AT90=$AR$12,$AQ$12,VLOOKUP(AT90,Voorblad!$X$67:$Z$98,2,FALSE)))</f>
        <v>Servië</v>
      </c>
      <c r="AT90" s="694" t="str">
        <f t="shared" ca="1" si="19"/>
        <v>C3</v>
      </c>
      <c r="AU90" s="693" t="str">
        <f ca="1">IF(AV90=$AR$11,$AQ$11,IF(AV90=$AR$12,$AQ$12,VLOOKUP(AV90,Voorblad!$X$67:$Z$98,2,FALSE)))</f>
        <v>Servië</v>
      </c>
      <c r="AV90" s="694" t="str">
        <f t="shared" ca="1" si="20"/>
        <v>C3</v>
      </c>
      <c r="AW90" s="693" t="str">
        <f ca="1">IF(AX90=$AR$11,$AQ$11,IF(AX90=$AR$12,$AQ$12,VLOOKUP(AX90,Voorblad!$X$67:$Z$98,2,FALSE)))</f>
        <v>Servië</v>
      </c>
      <c r="AX90" s="694" t="str">
        <f t="shared" ca="1" si="21"/>
        <v>C3</v>
      </c>
      <c r="AY90" s="693" t="str">
        <f ca="1">IF(AZ90=$AR$11,$AQ$11,IF(AZ90=$AR$12,$AQ$12,VLOOKUP(AZ90,Voorblad!$X$67:$Z$98,2,FALSE)))</f>
        <v>Servië</v>
      </c>
      <c r="AZ90" s="694" t="str">
        <f t="shared" ca="1" si="22"/>
        <v>C3</v>
      </c>
      <c r="BA90" s="696">
        <f t="shared" si="27"/>
        <v>36</v>
      </c>
    </row>
    <row r="91" spans="21:53" x14ac:dyDescent="0.25">
      <c r="U91" s="217"/>
      <c r="AB91" s="718">
        <f t="shared" si="28"/>
        <v>41</v>
      </c>
      <c r="AC91" s="1237" t="str">
        <f t="shared" si="25"/>
        <v/>
      </c>
      <c r="AD91" s="1237"/>
      <c r="AE91" s="1237" t="str">
        <f t="shared" si="26"/>
        <v/>
      </c>
      <c r="AF91" s="1237"/>
      <c r="AG91" s="1237" t="str">
        <f t="shared" ca="1" si="29"/>
        <v/>
      </c>
      <c r="AH91" s="1237"/>
      <c r="AI91" s="1237" t="str">
        <f t="shared" ca="1" si="30"/>
        <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B4C2A1C4A3B3B2A2C3C1B1A4????????????????????????????????????????????????????????????????</v>
      </c>
      <c r="AM91" s="1237" t="str">
        <f ca="1">IF(AG91="","",IF(LEN(AG91)&gt;=2,VLOOKUP(LEFT(AG91,2),Voorblad!$X$67:$Y$98,2)&amp;IF(LEN(AG91)&gt;=4," / "&amp;VLOOKUP(RIGHT(LEFT(AG91,4),2),Voorblad!$X$67:$Y$98,2)&amp;IF(LEN(AG91)&gt;=6," / "&amp;VLOOKUP(RIGHT(LEFT(AG91,6),2),Voorblad!$X$67:$Y$98,2)&amp;IF(LEN(AG91)&gt;=8," / "&amp;VLOOKUP(RIGHT(LEFT(AG91,8),2),Voorblad!$X$67:$Y$98,2),""),""),""),""))</f>
        <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
      </c>
      <c r="AP91" s="266" t="s">
        <v>322</v>
      </c>
      <c r="AQ91" s="710" t="str">
        <f ca="1">Voorblad!AA85</f>
        <v>C1</v>
      </c>
      <c r="AR91" s="711"/>
      <c r="AS91" s="693" t="str">
        <f ca="1">IF(AT91=$AR$11,$AQ$11,IF(AT91=$AR$12,$AQ$12,VLOOKUP(AT91,Voorblad!$X$67:$Z$98,2,FALSE)))</f>
        <v>Slovenië</v>
      </c>
      <c r="AT91" s="694" t="str">
        <f t="shared" ca="1" si="19"/>
        <v>C1</v>
      </c>
      <c r="AU91" s="693" t="str">
        <f ca="1">IF(AV91=$AR$11,$AQ$11,IF(AV91=$AR$12,$AQ$12,VLOOKUP(AV91,Voorblad!$X$67:$Z$98,2,FALSE)))</f>
        <v>Slovenië</v>
      </c>
      <c r="AV91" s="694" t="str">
        <f t="shared" ca="1" si="20"/>
        <v>C1</v>
      </c>
      <c r="AW91" s="693" t="str">
        <f ca="1">IF(AX91=$AR$11,$AQ$11,IF(AX91=$AR$12,$AQ$12,VLOOKUP(AX91,Voorblad!$X$67:$Z$98,2,FALSE)))</f>
        <v>Slovenië</v>
      </c>
      <c r="AX91" s="694" t="str">
        <f t="shared" ca="1" si="21"/>
        <v>C1</v>
      </c>
      <c r="AY91" s="693" t="str">
        <f ca="1">IF(AZ91=$AR$11,$AQ$11,IF(AZ91=$AR$12,$AQ$12,VLOOKUP(AZ91,Voorblad!$X$67:$Z$98,2,FALSE)))</f>
        <v>Slovenië</v>
      </c>
      <c r="AZ91" s="694" t="str">
        <f t="shared" ca="1" si="22"/>
        <v>C1</v>
      </c>
      <c r="BA91" s="696">
        <f t="shared" si="27"/>
        <v>38</v>
      </c>
    </row>
    <row r="92" spans="21:53" x14ac:dyDescent="0.25">
      <c r="U92" s="217"/>
      <c r="AB92" s="717">
        <f t="shared" si="28"/>
        <v>43</v>
      </c>
      <c r="AC92" s="1238" t="str">
        <f t="shared" si="25"/>
        <v/>
      </c>
      <c r="AD92" s="1238"/>
      <c r="AE92" s="1238" t="str">
        <f t="shared" si="26"/>
        <v/>
      </c>
      <c r="AF92" s="1238"/>
      <c r="AG92" s="1238" t="str">
        <f t="shared" ca="1" si="29"/>
        <v/>
      </c>
      <c r="AH92" s="1238"/>
      <c r="AI92" s="1238" t="str">
        <f t="shared" ca="1" si="30"/>
        <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B4C2A1C4D4A3B3B2D2D3D1A2C3C1B1A4????????????????????????????????????????????????????????????????</v>
      </c>
      <c r="AM92" s="1238" t="str">
        <f ca="1">IF(AG92="","",IF(LEN(AG92)&gt;=2,VLOOKUP(LEFT(AG92,2),Voorblad!$X$67:$Y$98,2)&amp;IF(LEN(AG92)&gt;=4," / "&amp;VLOOKUP(RIGHT(LEFT(AG92,4),2),Voorblad!$X$67:$Y$98,2)&amp;IF(LEN(AG92)&gt;=6," / "&amp;VLOOKUP(RIGHT(LEFT(AG92,6),2),Voorblad!$X$67:$Y$98,2)&amp;IF(LEN(AG92)&gt;=8," / "&amp;VLOOKUP(RIGHT(LEFT(AG92,8),2),Voorblad!$X$67:$Y$98,2),""),""),""),""))</f>
        <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
      </c>
      <c r="AP92" s="266" t="s">
        <v>322</v>
      </c>
      <c r="AQ92" s="710" t="str">
        <f ca="1">Voorblad!AA86</f>
        <v>E2</v>
      </c>
      <c r="AR92" s="711"/>
      <c r="AS92" s="693" t="str">
        <f ca="1">IF(AT92=$AR$11,$AQ$11,IF(AT92=$AR$12,$AQ$12,VLOOKUP(AT92,Voorblad!$X$67:$Z$98,2,FALSE)))</f>
        <v>Slowakije</v>
      </c>
      <c r="AT92" s="694" t="str">
        <f t="shared" ca="1" si="19"/>
        <v>E2</v>
      </c>
      <c r="AU92" s="693" t="str">
        <f ca="1">IF(AV92=$AR$11,$AQ$11,IF(AV92=$AR$12,$AQ$12,VLOOKUP(AV92,Voorblad!$X$67:$Z$98,2,FALSE)))</f>
        <v>Slowakije</v>
      </c>
      <c r="AV92" s="694" t="str">
        <f t="shared" ca="1" si="20"/>
        <v>E2</v>
      </c>
      <c r="AW92" s="693" t="str">
        <f ca="1">IF(AX92=$AR$11,$AQ$11,IF(AX92=$AR$12,$AQ$12,VLOOKUP(AX92,Voorblad!$X$67:$Z$98,2,FALSE)))</f>
        <v>Slowakije</v>
      </c>
      <c r="AX92" s="694" t="str">
        <f t="shared" ca="1" si="21"/>
        <v>E2</v>
      </c>
      <c r="AY92" s="693" t="str">
        <f ca="1">IF(AZ92=$AR$11,$AQ$11,IF(AZ92=$AR$12,$AQ$12,VLOOKUP(AZ92,Voorblad!$X$67:$Z$98,2,FALSE)))</f>
        <v>Slowakije</v>
      </c>
      <c r="AZ92" s="694" t="str">
        <f t="shared" ca="1" si="22"/>
        <v>E2</v>
      </c>
      <c r="BA92" s="696">
        <f t="shared" si="27"/>
        <v>40</v>
      </c>
    </row>
    <row r="93" spans="21:53" x14ac:dyDescent="0.25">
      <c r="U93" s="217"/>
      <c r="AB93" s="718">
        <f t="shared" si="28"/>
        <v>44</v>
      </c>
      <c r="AC93" s="1237" t="str">
        <f t="shared" si="25"/>
        <v/>
      </c>
      <c r="AD93" s="1237"/>
      <c r="AE93" s="1237" t="str">
        <f t="shared" si="26"/>
        <v/>
      </c>
      <c r="AF93" s="1237"/>
      <c r="AG93" s="1237" t="str">
        <f t="shared" ca="1" si="29"/>
        <v/>
      </c>
      <c r="AH93" s="1237"/>
      <c r="AI93" s="1237" t="str">
        <f t="shared" ca="1" si="30"/>
        <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
      </c>
      <c r="AN93" s="1237"/>
      <c r="AO93" s="729" t="str">
        <f ca="1">IF(AI93="","",IF(LEN(AI93)&gt;=2,VLOOKUP(LEFT(AI93,2),Voorblad!$X$67:$Y$98,2)&amp;IF(LEN(AI93)&gt;=4," / "&amp;VLOOKUP(RIGHT(LEFT(AI93,4),2),Voorblad!$X$67:$Y$98,2)&amp;IF(LEN(AI93)&gt;=6," / "&amp;VLOOKUP(RIGHT(LEFT(AI93,6),2),Voorblad!$X$67:$Y$98,2)&amp;IF(LEN(AI93)&gt;=8," / "&amp;VLOOKUP(RIGHT(LEFT(AI93,8),2),Voorblad!$X$67:$Y$98,2),""),""),""),""))</f>
        <v/>
      </c>
      <c r="AP93" s="266" t="s">
        <v>322</v>
      </c>
      <c r="AQ93" s="710" t="str">
        <f ca="1">Voorblad!AA87</f>
        <v>B1</v>
      </c>
      <c r="AR93" s="711"/>
      <c r="AS93" s="693" t="str">
        <f ca="1">IF(AT93=$AR$11,$AQ$11,IF(AT93=$AR$12,$AQ$12,VLOOKUP(AT93,Voorblad!$X$67:$Z$98,2,FALSE)))</f>
        <v>Spanje</v>
      </c>
      <c r="AT93" s="694" t="str">
        <f t="shared" ca="1" si="19"/>
        <v>B1</v>
      </c>
      <c r="AU93" s="693" t="str">
        <f ca="1">IF(AV93=$AR$11,$AQ$11,IF(AV93=$AR$12,$AQ$12,VLOOKUP(AV93,Voorblad!$X$67:$Z$98,2,FALSE)))</f>
        <v>Spanje</v>
      </c>
      <c r="AV93" s="694" t="str">
        <f t="shared" ca="1" si="20"/>
        <v>B1</v>
      </c>
      <c r="AW93" s="693" t="str">
        <f ca="1">IF(AX93=$AR$11,$AQ$11,IF(AX93=$AR$12,$AQ$12,VLOOKUP(AX93,Voorblad!$X$67:$Z$98,2,FALSE)))</f>
        <v>Spanje</v>
      </c>
      <c r="AX93" s="694" t="str">
        <f t="shared" ca="1" si="21"/>
        <v>B1</v>
      </c>
      <c r="AY93" s="693" t="str">
        <f ca="1">IF(AZ93=$AR$11,$AQ$11,IF(AZ93=$AR$12,$AQ$12,VLOOKUP(AZ93,Voorblad!$X$67:$Z$98,2,FALSE)))</f>
        <v>Spanje</v>
      </c>
      <c r="AZ93" s="694" t="str">
        <f t="shared" ca="1" si="22"/>
        <v>B1</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Tsjechië</v>
      </c>
      <c r="AT94" s="694" t="str">
        <f t="shared" ca="1" si="19"/>
        <v>F4</v>
      </c>
      <c r="AU94" s="693" t="str">
        <f ca="1">IF(AV94=$AR$11,$AQ$11,IF(AV94=$AR$12,$AQ$12,VLOOKUP(AV94,Voorblad!$X$67:$Z$98,2,FALSE)))</f>
        <v>Tsjechië</v>
      </c>
      <c r="AV94" s="694" t="str">
        <f t="shared" ca="1" si="20"/>
        <v>F4</v>
      </c>
      <c r="AW94" s="693" t="str">
        <f ca="1">IF(AX94=$AR$11,$AQ$11,IF(AX94=$AR$12,$AQ$12,VLOOKUP(AX94,Voorblad!$X$67:$Z$98,2,FALSE)))</f>
        <v>Tsjechië</v>
      </c>
      <c r="AX94" s="694" t="str">
        <f t="shared" ca="1" si="21"/>
        <v>F4</v>
      </c>
      <c r="AY94" s="693" t="str">
        <f ca="1">IF(AZ94=$AR$11,$AQ$11,IF(AZ94=$AR$12,$AQ$12,VLOOKUP(AZ94,Voorblad!$X$67:$Z$98,2,FALSE)))</f>
        <v>Tsjechië</v>
      </c>
      <c r="AZ94" s="694" t="str">
        <f t="shared" ca="1" si="22"/>
        <v>F4</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Turkije</v>
      </c>
      <c r="AT95" s="694" t="str">
        <f t="shared" ca="1" si="19"/>
        <v>F1</v>
      </c>
      <c r="AU95" s="693" t="str">
        <f ca="1">IF(AV95=$AR$11,$AQ$11,IF(AV95=$AR$12,$AQ$12,VLOOKUP(AV95,Voorblad!$X$67:$Z$98,2,FALSE)))</f>
        <v>Turkije</v>
      </c>
      <c r="AV95" s="694" t="str">
        <f t="shared" ca="1" si="20"/>
        <v>F1</v>
      </c>
      <c r="AW95" s="693" t="str">
        <f ca="1">IF(AX95=$AR$11,$AQ$11,IF(AX95=$AR$12,$AQ$12,VLOOKUP(AX95,Voorblad!$X$67:$Z$98,2,FALSE)))</f>
        <v>Turkije</v>
      </c>
      <c r="AX95" s="694" t="str">
        <f t="shared" ca="1" si="21"/>
        <v>F1</v>
      </c>
      <c r="AY95" s="693" t="str">
        <f ca="1">IF(AZ95=$AR$11,$AQ$11,IF(AZ95=$AR$12,$AQ$12,VLOOKUP(AZ95,Voorblad!$X$67:$Z$98,2,FALSE)))</f>
        <v>Turkije</v>
      </c>
      <c r="AZ95" s="694" t="str">
        <f t="shared" ca="1" si="22"/>
        <v>F1</v>
      </c>
      <c r="BA95" s="696">
        <f t="shared" si="27"/>
        <v>46</v>
      </c>
    </row>
    <row r="96" spans="21:53" x14ac:dyDescent="0.25">
      <c r="AB96" s="717">
        <f>D36</f>
        <v>45</v>
      </c>
      <c r="AC96" s="1238" t="str">
        <f>AG21</f>
        <v/>
      </c>
      <c r="AD96" s="1238"/>
      <c r="AE96" s="1238" t="str">
        <f>AG17</f>
        <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B4E1A1D4F2A3B3B2D2E4D3D1F3E3A2E2B1F4F1A4????????????????????????????????????????????????????????????????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C2A1C4A3A2C3C1A4????????????????????????????????????????????????????????????????</v>
      </c>
      <c r="AM96" s="1247" t="str">
        <f ca="1">IF(AG96="","",IF(LEN(AG96)&gt;=2,VLOOKUP(LEFT(AG96,2),Voorblad!$X$67:$Y$98,2)&amp;IF(LEN(AG96)&gt;=4," / "&amp;VLOOKUP(RIGHT(LEFT(AG96,4),2),Voorblad!$X$67:$Y$98,2),""),""))</f>
        <v/>
      </c>
      <c r="AN96" s="1247"/>
      <c r="AO96" s="717" t="str">
        <f ca="1">IF(AI96="","",IF(LEN(AI96)&gt;=2,VLOOKUP(LEFT(AI96,2),Voorblad!$X$67:$Y$98,2)&amp;IF(LEN(AI96)&gt;=4," / "&amp;VLOOKUP(RIGHT(LEFT(AI96,4),2),Voorblad!$X$67:$Y$98,2),""),""))</f>
        <v/>
      </c>
      <c r="AP96" s="266"/>
      <c r="AQ96" s="710" t="str">
        <f ca="1">Voorblad!AA90</f>
        <v>A4</v>
      </c>
      <c r="AR96" s="711"/>
      <c r="AS96" s="693" t="str">
        <f ca="1">IF(AT96=$AR$11,$AQ$11,IF(AT96=$AR$12,$AQ$12,VLOOKUP(AT96,Voorblad!$X$67:$Z$98,2,FALSE)))</f>
        <v>Zwitserland</v>
      </c>
      <c r="AT96" s="694" t="str">
        <f t="shared" ca="1" si="19"/>
        <v>A4</v>
      </c>
      <c r="AU96" s="693" t="str">
        <f ca="1">IF(AV96=$AR$11,$AQ$11,IF(AV96=$AR$12,$AQ$12,VLOOKUP(AV96,Voorblad!$X$67:$Z$98,2,FALSE)))</f>
        <v>Zwitserland</v>
      </c>
      <c r="AV96" s="694" t="str">
        <f t="shared" ca="1" si="20"/>
        <v>A4</v>
      </c>
      <c r="AW96" s="693" t="str">
        <f ca="1">IF(AX96=$AR$11,$AQ$11,IF(AX96=$AR$12,$AQ$12,VLOOKUP(AX96,Voorblad!$X$67:$Z$98,2,FALSE)))</f>
        <v>Zwitserland</v>
      </c>
      <c r="AX96" s="694" t="str">
        <f t="shared" ca="1" si="21"/>
        <v>A4</v>
      </c>
      <c r="AY96" s="693" t="str">
        <f ca="1">IF(AZ96=$AR$11,$AQ$11,IF(AZ96=$AR$12,$AQ$12,VLOOKUP(AZ96,Voorblad!$X$67:$Z$98,2,FALSE)))</f>
        <v>Zwitserland</v>
      </c>
      <c r="AZ96" s="694" t="str">
        <f t="shared" ca="1" si="22"/>
        <v>A4</v>
      </c>
      <c r="BA96" s="696">
        <f t="shared" si="27"/>
        <v>48</v>
      </c>
    </row>
    <row r="97" spans="28:53" x14ac:dyDescent="0.25">
      <c r="AB97" s="718">
        <f>D38</f>
        <v>46</v>
      </c>
      <c r="AC97" s="1237" t="str">
        <f>AG25</f>
        <v/>
      </c>
      <c r="AD97" s="1237"/>
      <c r="AE97" s="1237" t="str">
        <f>AG23</f>
        <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B4C2A1C4F2A3B3B2F3A2C3C1B1F4F1A4????????????????????????????????????????????????????????????????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E1D4D2E4D3D1E3E2????????????????????????????????????????????????????????????????</v>
      </c>
      <c r="AM97" s="1248" t="str">
        <f ca="1">IF(AG97="","",IF(LEN(AG97)&gt;=2,VLOOKUP(LEFT(AG97,2),Voorblad!$X$67:$Y$98,2)&amp;IF(LEN(AG97)&gt;=4," / "&amp;VLOOKUP(RIGHT(LEFT(AG97,4),2),Voorblad!$X$67:$Y$98,2),""),""))</f>
        <v/>
      </c>
      <c r="AN97" s="1248"/>
      <c r="AO97" s="718" t="str">
        <f ca="1">IF(AI97="","",IF(LEN(AI97)&gt;=2,VLOOKUP(LEFT(AI97,2),Voorblad!$X$67:$Y$98,2)&amp;IF(LEN(AI97)&gt;=4," / "&amp;VLOOKUP(RIGHT(LEFT(AI97,4),2),Voorblad!$X$67:$Y$98,2),""),""))</f>
        <v/>
      </c>
      <c r="AP97" s="266"/>
      <c r="AQ97" s="710" t="str">
        <f ca="1">Voorblad!AA91</f>
        <v>G1</v>
      </c>
      <c r="AR97" s="711"/>
      <c r="AS97" s="693" t="str">
        <f ca="1">IF(AT97=$AR$11,$AQ$11,IF(AT97=$AR$12,$AQ$12,VLOOKUP(AT97,Voorblad!$X$67:$Z$98,2,FALSE)))</f>
        <v/>
      </c>
      <c r="AT97" s="694" t="str">
        <f t="shared" ca="1" si="19"/>
        <v>??</v>
      </c>
      <c r="AU97" s="693" t="str">
        <f ca="1">IF(AV97=$AR$11,$AQ$11,IF(AV97=$AR$12,$AQ$12,VLOOKUP(AV97,Voorblad!$X$67:$Z$98,2,FALSE)))</f>
        <v/>
      </c>
      <c r="AV97" s="694" t="str">
        <f t="shared" ca="1" si="20"/>
        <v>??</v>
      </c>
      <c r="AW97" s="693" t="str">
        <f ca="1">IF(AX97=$AR$11,$AQ$11,IF(AX97=$AR$12,$AQ$12,VLOOKUP(AX97,Voorblad!$X$67:$Z$98,2,FALSE)))</f>
        <v/>
      </c>
      <c r="AX97" s="694" t="str">
        <f t="shared" ca="1" si="21"/>
        <v>??</v>
      </c>
      <c r="AY97" s="693" t="str">
        <f ca="1">IF(AZ97=$AR$11,$AQ$11,IF(AZ97=$AR$12,$AQ$12,VLOOKUP(AZ97,Voorblad!$X$67:$Z$98,2,FALSE)))</f>
        <v/>
      </c>
      <c r="AZ97" s="694" t="str">
        <f t="shared" ca="1" si="22"/>
        <v>??</v>
      </c>
      <c r="BA97" s="696">
        <f t="shared" si="27"/>
        <v>50</v>
      </c>
    </row>
    <row r="98" spans="28:53" x14ac:dyDescent="0.25">
      <c r="AB98" s="717">
        <f>D40</f>
        <v>48</v>
      </c>
      <c r="AC98" s="1238" t="str">
        <f>AG19</f>
        <v/>
      </c>
      <c r="AD98" s="1238"/>
      <c r="AE98" s="1238" t="str">
        <f>AG15</f>
        <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E1C2C4D4F2D2E4D3D1F3E3C3C1E2F4F1????????????????????????????????????????????????????????????????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B4A1A3B3B2A2B1A4????????????????????????????????????????????????????????????????</v>
      </c>
      <c r="AM98" s="1247" t="str">
        <f ca="1">IF(AG98="","",IF(LEN(AG98)&gt;=2,VLOOKUP(LEFT(AG98,2),Voorblad!$X$67:$Y$98,2)&amp;IF(LEN(AG98)&gt;=4," / "&amp;VLOOKUP(RIGHT(LEFT(AG98,4),2),Voorblad!$X$67:$Y$98,2),""),""))</f>
        <v/>
      </c>
      <c r="AN98" s="1247"/>
      <c r="AO98" s="717" t="str">
        <f ca="1">IF(AI98="","",IF(LEN(AI98)&gt;=2,VLOOKUP(LEFT(AI98,2),Voorblad!$X$67:$Y$98,2)&amp;IF(LEN(AI98)&gt;=4," / "&amp;VLOOKUP(RIGHT(LEFT(AI98,4),2),Voorblad!$X$67:$Y$98,2),""),""))</f>
        <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AG27</f>
        <v/>
      </c>
      <c r="AD99" s="1237"/>
      <c r="AE99" s="1237" t="str">
        <f>AG29</f>
        <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B4E1C2A1C4D4A3B3B2D2E4D3D1E3A2C3C1E2B1A4????????????????????????????????????????????????????????????????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D4F2D2D3D1F3F4F1????????????????????????????????????????????????????????????????</v>
      </c>
      <c r="AM99" s="1248" t="str">
        <f ca="1">IF(AG99="","",IF(LEN(AG99)&gt;=2,VLOOKUP(LEFT(AG99,2),Voorblad!$X$67:$Y$98,2)&amp;IF(LEN(AG99)&gt;=4," / "&amp;VLOOKUP(RIGHT(LEFT(AG99,4),2),Voorblad!$X$67:$Y$98,2),""),""))</f>
        <v/>
      </c>
      <c r="AN99" s="1248"/>
      <c r="AO99" s="718" t="str">
        <f ca="1">IF(AI99="","",IF(LEN(AI99)&gt;=2,VLOOKUP(LEFT(AI99,2),Voorblad!$X$67:$Y$98,2)&amp;IF(LEN(AI99)&gt;=4," / "&amp;VLOOKUP(RIGHT(LEFT(AI99,4),2),Voorblad!$X$67:$Y$98,2),""),""))</f>
        <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AG37</f>
        <v/>
      </c>
      <c r="AD102" s="1238"/>
      <c r="AE102" s="1238" t="str">
        <f>AG39</f>
        <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B4E1C2A1C4D4F2A3B3B2D2E4D3D1F3E3A2C3C1E2B1F4F1A4????????????????????????????????????????????????????????????????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B4E1C2A1C4D4F2A3B3B2D2E4D3D1F3E3A2C3C1E2B1F4F1A4????????????????????????????????????????????????????????????????</v>
      </c>
      <c r="AM102" s="1247" t="str">
        <f ca="1">IF(AG102="","",IF(LEN(AG102)&gt;=2,VLOOKUP(LEFT(AG102,2),Voorblad!$X$67:$Y$98,2)&amp;IF(LEN(AG102)&gt;=4," / "&amp;VLOOKUP(RIGHT(LEFT(AG102,4),2),Voorblad!$X$67:$Y$98,2),""),""))</f>
        <v/>
      </c>
      <c r="AN102" s="1247"/>
      <c r="AO102" s="717" t="str">
        <f ca="1">IF(AI102="","",IF(LEN(AI102)&gt;=2,VLOOKUP(LEFT(AI102,2),Voorblad!$X$67:$Y$98,2)&amp;IF(LEN(AI102)&gt;=4," / "&amp;VLOOKUP(RIGHT(LEFT(AI102,4),2),Voorblad!$X$67:$Y$98,2),""),""))</f>
        <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AG43</f>
        <v/>
      </c>
      <c r="AD103" s="1237"/>
      <c r="AE103" s="1237" t="str">
        <f>AG41</f>
        <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B4E1C2A1C4D4F2A3B3B2D2E4D3D1F3E3A2C3C1E2B1F4F1A4????????????????????????????????????????????????????????????????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B4E1C2A1C4D4F2A3B3B2D2E4D3D1F3E3A2C3C1E2B1F4F1A4????????????????????????????????????????????????????????????????</v>
      </c>
      <c r="AM103" s="1248" t="str">
        <f ca="1">IF(AG103="","",IF(LEN(AG103)&gt;=2,VLOOKUP(LEFT(AG103,2),Voorblad!$X$67:$Y$98,2)&amp;IF(LEN(AG103)&gt;=4," / "&amp;VLOOKUP(RIGHT(LEFT(AG103,4),2),Voorblad!$X$67:$Y$98,2),""),""))</f>
        <v/>
      </c>
      <c r="AN103" s="1248"/>
      <c r="AO103" s="718" t="str">
        <f ca="1">IF(AI103="","",IF(LEN(AI103)&gt;=2,VLOOKUP(LEFT(AI103,2),Voorblad!$X$67:$Y$98,2)&amp;IF(LEN(AI103)&gt;=4," / "&amp;VLOOKUP(RIGHT(LEFT(AI103,4),2),Voorblad!$X$67:$Y$98,2),""),""))</f>
        <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AG48</f>
        <v/>
      </c>
      <c r="AD106" s="1238"/>
      <c r="AE106" s="1238" t="str">
        <f>AG50</f>
        <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B4E1C2A1C4D4F2A3B3B2D2E4D3D1F3E3A2C3C1E2B1F4F1A4????????????????????????????????????????????????????????????????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B4E1C2A1C4D4F2A3B3B2D2E4D3D1F3E3A2C3C1E2B1F4F1A4????????????????????????????????????????????????????????????????</v>
      </c>
      <c r="AM106" s="1247" t="str">
        <f ca="1">IF(AG106="","",IF(LEN(AG106)&gt;=2,VLOOKUP(LEFT(AG106,2),Voorblad!$X$67:$Y$98,2)&amp;IF(LEN(AG106)&gt;=4," / "&amp;VLOOKUP(RIGHT(LEFT(AG106,4),2),Voorblad!$X$67:$Y$98,2),""),""))</f>
        <v/>
      </c>
      <c r="AN106" s="1247"/>
      <c r="AO106" s="717" t="str">
        <f ca="1">IF(AI106="","",IF(LEN(AI106)&gt;=2,VLOOKUP(LEFT(AI106,2),Voorblad!$X$67:$Y$98,2)&amp;IF(LEN(AI106)&gt;=4," / "&amp;VLOOKUP(RIGHT(LEFT(AI106,4),2),Voorblad!$X$67:$Y$98,2),""),""))</f>
        <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Albanië</v>
      </c>
      <c r="AR107" s="725" t="str">
        <f ca="1">RIGHT(LEFT($AK$112,$BA107),2)</f>
        <v>B4</v>
      </c>
      <c r="AS107" s="700" t="str">
        <f ca="1">IF(AT107=$AR$11,$AQ$11,IF(AT107=$AR$12,$AQ$12,VLOOKUP(AT107,Voorblad!$X$67:$Z$98,2,FALSE)))</f>
        <v>Albanië</v>
      </c>
      <c r="AT107" s="701" t="str">
        <f ca="1">RIGHT(LEFT($AK$106,$BA107),2)</f>
        <v>B4</v>
      </c>
      <c r="AU107" s="700" t="str">
        <f ca="1">IF(AV107=$AR$11,$AQ$11,IF(AV107=$AR$12,$AQ$12,VLOOKUP(AV107,Voorblad!$X$67:$Z$98,2,FALSE)))</f>
        <v>Albanië</v>
      </c>
      <c r="AV107" s="701" t="str">
        <f ca="1">RIGHT(LEFT($AL$106,$BA107),2)</f>
        <v>B4</v>
      </c>
      <c r="AW107" s="705" t="str">
        <f ca="1">IF(AX107=$AR$11,$AQ$11,IF(AX107=$AR$12,$AQ$12,VLOOKUP(AX107,Voorblad!$X$67:$Z$98,2,FALSE)))</f>
        <v>Albanië</v>
      </c>
      <c r="AX107" s="706" t="str">
        <f ca="1">RIGHT(LEFT($AK$109,$BA107),2)</f>
        <v>B4</v>
      </c>
      <c r="AY107" s="705" t="str">
        <f ca="1">IF(AZ107=$AR$11,$AQ$11,IF(AZ107=$AR$12,$AQ$12,VLOOKUP(AZ107,Voorblad!$X$67:$Z$98,2,FALSE)))</f>
        <v>Albanië</v>
      </c>
      <c r="AZ107" s="706" t="str">
        <f ca="1">RIGHT(LEFT($AL$109,$BA107),2)</f>
        <v>B4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België</v>
      </c>
      <c r="AR108" s="725" t="str">
        <f t="shared" ref="AR108:AR139" ca="1" si="31">RIGHT(LEFT($AK$112,$BA108),2)</f>
        <v>E1</v>
      </c>
      <c r="AS108" s="700" t="str">
        <f ca="1">IF(AT108=$AR$11,$AQ$11,IF(AT108=$AR$12,$AQ$12,VLOOKUP(AT108,Voorblad!$X$67:$Z$98,2,FALSE)))</f>
        <v>België</v>
      </c>
      <c r="AT108" s="701" t="str">
        <f t="shared" ref="AT108:AT139" ca="1" si="32">RIGHT(LEFT($AK$106,$BA108),2)</f>
        <v>E1</v>
      </c>
      <c r="AU108" s="700" t="str">
        <f ca="1">IF(AV108=$AR$11,$AQ$11,IF(AV108=$AR$12,$AQ$12,VLOOKUP(AV108,Voorblad!$X$67:$Z$98,2,FALSE)))</f>
        <v>België</v>
      </c>
      <c r="AV108" s="701" t="str">
        <f t="shared" ref="AV108:AV139" ca="1" si="33">RIGHT(LEFT($AL$106,$BA108),2)</f>
        <v>E1</v>
      </c>
      <c r="AW108" s="705" t="str">
        <f ca="1">IF(AX108=$AR$11,$AQ$11,IF(AX108=$AR$12,$AQ$12,VLOOKUP(AX108,Voorblad!$X$67:$Z$98,2,FALSE)))</f>
        <v>België</v>
      </c>
      <c r="AX108" s="706" t="str">
        <f t="shared" ref="AX108:AX139" ca="1" si="34">RIGHT(LEFT($AK$109,$BA108),2)</f>
        <v>E1</v>
      </c>
      <c r="AY108" s="705" t="str">
        <f ca="1">IF(AZ108=$AR$11,$AQ$11,IF(AZ108=$AR$12,$AQ$12,VLOOKUP(AZ108,Voorblad!$X$67:$Z$98,2,FALSE)))</f>
        <v>België</v>
      </c>
      <c r="AZ108" s="706" t="str">
        <f t="shared" ref="AZ108:AZ139" ca="1" si="35">RIGHT(LEFT($AL$109,$BA108),2)</f>
        <v>E1</v>
      </c>
      <c r="BA108" s="708">
        <f t="shared" ref="BA108:BA118" si="36">BA107+2</f>
        <v>4</v>
      </c>
    </row>
    <row r="109" spans="28:53" x14ac:dyDescent="0.25">
      <c r="AB109" s="717">
        <f>D56</f>
        <v>51</v>
      </c>
      <c r="AC109" s="1238" t="str">
        <f>AG47</f>
        <v/>
      </c>
      <c r="AD109" s="1238"/>
      <c r="AE109" s="1238" t="str">
        <f>AG49</f>
        <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B4E1C2A1C4D4F2A3B3B2D2E4D3D1F3E3A2C3C1E2B1F4F1A4????????????????????????????????????????????????????????????????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B4E1C2A1C4D4F2A3B3B2D2E4D3D1F3E3A2C3C1E2B1F4F1A4????????????????????????????????????????????????????????????????</v>
      </c>
      <c r="AM109" s="1247" t="str">
        <f ca="1">IF(AG109="","",IF(LEN(AG109)&gt;=2,VLOOKUP(LEFT(AG109,2),Voorblad!$X$67:$Y$98,2)&amp;IF(LEN(AG109)&gt;=4," / "&amp;VLOOKUP(RIGHT(LEFT(AG109,4),2),Voorblad!$X$67:$Y$98,2),""),""))</f>
        <v/>
      </c>
      <c r="AN109" s="1247"/>
      <c r="AO109" s="717" t="str">
        <f ca="1">IF(AI109="","",IF(LEN(AI109)&gt;=2,VLOOKUP(LEFT(AI109,2),Voorblad!$X$67:$Y$98,2)&amp;IF(LEN(AI109)&gt;=4," / "&amp;VLOOKUP(RIGHT(LEFT(AI109,4),2),Voorblad!$X$67:$Y$98,2),""),""))</f>
        <v/>
      </c>
      <c r="AP109" s="266"/>
      <c r="AQ109" s="724" t="str">
        <f ca="1">IF(AR109=$AR$11,$AQ$11,IF(AR109=$AR$12,$AQ$12,VLOOKUP(AR109,Voorblad!$X$67:$Z$98,2,FALSE)))</f>
        <v>Denemarken</v>
      </c>
      <c r="AR109" s="725" t="str">
        <f t="shared" ca="1" si="31"/>
        <v>C2</v>
      </c>
      <c r="AS109" s="700" t="str">
        <f ca="1">IF(AT109=$AR$11,$AQ$11,IF(AT109=$AR$12,$AQ$12,VLOOKUP(AT109,Voorblad!$X$67:$Z$98,2,FALSE)))</f>
        <v>Denemarken</v>
      </c>
      <c r="AT109" s="701" t="str">
        <f t="shared" ca="1" si="32"/>
        <v>C2</v>
      </c>
      <c r="AU109" s="700" t="str">
        <f ca="1">IF(AV109=$AR$11,$AQ$11,IF(AV109=$AR$12,$AQ$12,VLOOKUP(AV109,Voorblad!$X$67:$Z$98,2,FALSE)))</f>
        <v>Denemarken</v>
      </c>
      <c r="AV109" s="701" t="str">
        <f t="shared" ca="1" si="33"/>
        <v>C2</v>
      </c>
      <c r="AW109" s="705" t="str">
        <f ca="1">IF(AX109=$AR$11,$AQ$11,IF(AX109=$AR$12,$AQ$12,VLOOKUP(AX109,Voorblad!$X$67:$Z$98,2,FALSE)))</f>
        <v>Denemarken</v>
      </c>
      <c r="AX109" s="706" t="str">
        <f t="shared" ca="1" si="34"/>
        <v>C2</v>
      </c>
      <c r="AY109" s="705" t="str">
        <f ca="1">IF(AZ109=$AR$11,$AQ$11,IF(AZ109=$AR$12,$AQ$12,VLOOKUP(AZ109,Voorblad!$X$67:$Z$98,2,FALSE)))</f>
        <v>Denemarken</v>
      </c>
      <c r="AZ109" s="706" t="str">
        <f t="shared" ca="1" si="35"/>
        <v>C2</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Duitsland</v>
      </c>
      <c r="AR110" s="725" t="str">
        <f t="shared" ca="1" si="31"/>
        <v>A1</v>
      </c>
      <c r="AS110" s="700" t="str">
        <f ca="1">IF(AT110=$AR$11,$AQ$11,IF(AT110=$AR$12,$AQ$12,VLOOKUP(AT110,Voorblad!$X$67:$Z$98,2,FALSE)))</f>
        <v>Duitsland</v>
      </c>
      <c r="AT110" s="701" t="str">
        <f t="shared" ca="1" si="32"/>
        <v>A1</v>
      </c>
      <c r="AU110" s="700" t="str">
        <f ca="1">IF(AV110=$AR$11,$AQ$11,IF(AV110=$AR$12,$AQ$12,VLOOKUP(AV110,Voorblad!$X$67:$Z$98,2,FALSE)))</f>
        <v>Duitsland</v>
      </c>
      <c r="AV110" s="701" t="str">
        <f t="shared" ca="1" si="33"/>
        <v>A1</v>
      </c>
      <c r="AW110" s="705" t="str">
        <f ca="1">IF(AX110=$AR$11,$AQ$11,IF(AX110=$AR$12,$AQ$12,VLOOKUP(AX110,Voorblad!$X$67:$Z$98,2,FALSE)))</f>
        <v>Duitsland</v>
      </c>
      <c r="AX110" s="706" t="str">
        <f t="shared" ca="1" si="34"/>
        <v>A1</v>
      </c>
      <c r="AY110" s="705" t="str">
        <f ca="1">IF(AZ110=$AR$11,$AQ$11,IF(AZ110=$AR$12,$AQ$12,VLOOKUP(AZ110,Voorblad!$X$67:$Z$98,2,FALSE)))</f>
        <v>Duitsland</v>
      </c>
      <c r="AZ110" s="706" t="str">
        <f t="shared" ca="1" si="35"/>
        <v>A1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Engeland</v>
      </c>
      <c r="AR111" s="725" t="str">
        <f t="shared" ca="1" si="31"/>
        <v>C4</v>
      </c>
      <c r="AS111" s="700" t="str">
        <f ca="1">IF(AT111=$AR$11,$AQ$11,IF(AT111=$AR$12,$AQ$12,VLOOKUP(AT111,Voorblad!$X$67:$Z$98,2,FALSE)))</f>
        <v>Engeland</v>
      </c>
      <c r="AT111" s="701" t="str">
        <f t="shared" ca="1" si="32"/>
        <v>C4</v>
      </c>
      <c r="AU111" s="700" t="str">
        <f ca="1">IF(AV111=$AR$11,$AQ$11,IF(AV111=$AR$12,$AQ$12,VLOOKUP(AV111,Voorblad!$X$67:$Z$98,2,FALSE)))</f>
        <v>Engeland</v>
      </c>
      <c r="AV111" s="701" t="str">
        <f t="shared" ca="1" si="33"/>
        <v>C4</v>
      </c>
      <c r="AW111" s="705" t="str">
        <f ca="1">IF(AX111=$AR$11,$AQ$11,IF(AX111=$AR$12,$AQ$12,VLOOKUP(AX111,Voorblad!$X$67:$Z$98,2,FALSE)))</f>
        <v>Engeland</v>
      </c>
      <c r="AX111" s="706" t="str">
        <f t="shared" ca="1" si="34"/>
        <v>C4</v>
      </c>
      <c r="AY111" s="705" t="str">
        <f ca="1">IF(AZ111=$AR$11,$AQ$11,IF(AZ111=$AR$12,$AQ$12,VLOOKUP(AZ111,Voorblad!$X$67:$Z$98,2,FALSE)))</f>
        <v>Engeland</v>
      </c>
      <c r="AZ111" s="706" t="str">
        <f t="shared" ca="1" si="35"/>
        <v>C4</v>
      </c>
      <c r="BA111" s="708">
        <f t="shared" si="36"/>
        <v>10</v>
      </c>
    </row>
    <row r="112" spans="28:53" x14ac:dyDescent="0.25">
      <c r="AB112" s="717" t="s">
        <v>929</v>
      </c>
      <c r="AC112" s="1238" t="str">
        <f>AG57</f>
        <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B4E1C2A1C4D4F2A3B3B2D2E4D3D1F3E3A2C3C1E2B1F4F1A4????????????????????????????????????????????????????????????????</v>
      </c>
      <c r="AL112" s="1238"/>
      <c r="AM112" s="1247" t="str">
        <f ca="1">IF(AG112="","",IF(LEN(AG112)&gt;=2,VLOOKUP(LEFT(AG112,2),Voorblad!$X$67:$Y$98,2)&amp;IF(LEN(AG112)&gt;=4," / "&amp;VLOOKUP(RIGHT(LEFT(AG112,4),2),Voorblad!$X$67:$Y$98,2),""),""))</f>
        <v/>
      </c>
      <c r="AN112" s="1247"/>
      <c r="AO112" s="1247"/>
      <c r="AP112" s="266"/>
      <c r="AQ112" s="724" t="str">
        <f ca="1">IF(AR112=$AR$11,$AQ$11,IF(AR112=$AR$12,$AQ$12,VLOOKUP(AR112,Voorblad!$X$67:$Z$98,2,FALSE)))</f>
        <v>Frankrijk</v>
      </c>
      <c r="AR112" s="725" t="str">
        <f t="shared" ca="1" si="31"/>
        <v>D4</v>
      </c>
      <c r="AS112" s="700" t="str">
        <f ca="1">IF(AT112=$AR$11,$AQ$11,IF(AT112=$AR$12,$AQ$12,VLOOKUP(AT112,Voorblad!$X$67:$Z$98,2,FALSE)))</f>
        <v>Frankrijk</v>
      </c>
      <c r="AT112" s="701" t="str">
        <f t="shared" ca="1" si="32"/>
        <v>D4</v>
      </c>
      <c r="AU112" s="700" t="str">
        <f ca="1">IF(AV112=$AR$11,$AQ$11,IF(AV112=$AR$12,$AQ$12,VLOOKUP(AV112,Voorblad!$X$67:$Z$98,2,FALSE)))</f>
        <v>Frankrijk</v>
      </c>
      <c r="AV112" s="701" t="str">
        <f t="shared" ca="1" si="33"/>
        <v>D4</v>
      </c>
      <c r="AW112" s="705" t="str">
        <f ca="1">IF(AX112=$AR$11,$AQ$11,IF(AX112=$AR$12,$AQ$12,VLOOKUP(AX112,Voorblad!$X$67:$Z$98,2,FALSE)))</f>
        <v>Frankrijk</v>
      </c>
      <c r="AX112" s="706" t="str">
        <f t="shared" ca="1" si="34"/>
        <v>D4</v>
      </c>
      <c r="AY112" s="705" t="str">
        <f ca="1">IF(AZ112=$AR$11,$AQ$11,IF(AZ112=$AR$12,$AQ$12,VLOOKUP(AZ112,Voorblad!$X$67:$Z$98,2,FALSE)))</f>
        <v>Frankrijk</v>
      </c>
      <c r="AZ112" s="706" t="str">
        <f t="shared" ca="1" si="35"/>
        <v>D4</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Georgië</v>
      </c>
      <c r="AR113" s="725" t="str">
        <f t="shared" ca="1" si="31"/>
        <v>F2</v>
      </c>
      <c r="AS113" s="700" t="str">
        <f ca="1">IF(AT113=$AR$11,$AQ$11,IF(AT113=$AR$12,$AQ$12,VLOOKUP(AT113,Voorblad!$X$67:$Z$98,2,FALSE)))</f>
        <v>Georgië</v>
      </c>
      <c r="AT113" s="701" t="str">
        <f t="shared" ca="1" si="32"/>
        <v>F2</v>
      </c>
      <c r="AU113" s="700" t="str">
        <f ca="1">IF(AV113=$AR$11,$AQ$11,IF(AV113=$AR$12,$AQ$12,VLOOKUP(AV113,Voorblad!$X$67:$Z$98,2,FALSE)))</f>
        <v>Georgië</v>
      </c>
      <c r="AV113" s="701" t="str">
        <f t="shared" ca="1" si="33"/>
        <v>F2</v>
      </c>
      <c r="AW113" s="705" t="str">
        <f ca="1">IF(AX113=$AR$11,$AQ$11,IF(AX113=$AR$12,$AQ$12,VLOOKUP(AX113,Voorblad!$X$67:$Z$98,2,FALSE)))</f>
        <v>Georgië</v>
      </c>
      <c r="AX113" s="706" t="str">
        <f t="shared" ca="1" si="34"/>
        <v>F2</v>
      </c>
      <c r="AY113" s="705" t="str">
        <f ca="1">IF(AZ113=$AR$11,$AQ$11,IF(AZ113=$AR$12,$AQ$12,VLOOKUP(AZ113,Voorblad!$X$67:$Z$98,2,FALSE)))</f>
        <v>Georgië</v>
      </c>
      <c r="AZ113" s="706" t="str">
        <f t="shared" ca="1" si="35"/>
        <v>F2</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Hongarije</v>
      </c>
      <c r="AR114" s="725" t="str">
        <f t="shared" ca="1" si="31"/>
        <v>A3</v>
      </c>
      <c r="AS114" s="700" t="str">
        <f ca="1">IF(AT114=$AR$11,$AQ$11,IF(AT114=$AR$12,$AQ$12,VLOOKUP(AT114,Voorblad!$X$67:$Z$98,2,FALSE)))</f>
        <v>Hongarije</v>
      </c>
      <c r="AT114" s="701" t="str">
        <f t="shared" ca="1" si="32"/>
        <v>A3</v>
      </c>
      <c r="AU114" s="700" t="str">
        <f ca="1">IF(AV114=$AR$11,$AQ$11,IF(AV114=$AR$12,$AQ$12,VLOOKUP(AV114,Voorblad!$X$67:$Z$98,2,FALSE)))</f>
        <v>Hongarije</v>
      </c>
      <c r="AV114" s="701" t="str">
        <f t="shared" ca="1" si="33"/>
        <v>A3</v>
      </c>
      <c r="AW114" s="705" t="str">
        <f ca="1">IF(AX114=$AR$11,$AQ$11,IF(AX114=$AR$12,$AQ$12,VLOOKUP(AX114,Voorblad!$X$67:$Z$98,2,FALSE)))</f>
        <v>Hongarije</v>
      </c>
      <c r="AX114" s="706" t="str">
        <f t="shared" ca="1" si="34"/>
        <v>A3</v>
      </c>
      <c r="AY114" s="705" t="str">
        <f ca="1">IF(AZ114=$AR$11,$AQ$11,IF(AZ114=$AR$12,$AQ$12,VLOOKUP(AZ114,Voorblad!$X$67:$Z$98,2,FALSE)))</f>
        <v>Hongarije</v>
      </c>
      <c r="AZ114" s="706" t="str">
        <f t="shared" ca="1" si="35"/>
        <v>A3</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Italië</v>
      </c>
      <c r="AR115" s="725" t="str">
        <f t="shared" ca="1" si="31"/>
        <v>B3</v>
      </c>
      <c r="AS115" s="700" t="str">
        <f ca="1">IF(AT115=$AR$11,$AQ$11,IF(AT115=$AR$12,$AQ$12,VLOOKUP(AT115,Voorblad!$X$67:$Z$98,2,FALSE)))</f>
        <v>Italië</v>
      </c>
      <c r="AT115" s="701" t="str">
        <f t="shared" ca="1" si="32"/>
        <v>B3</v>
      </c>
      <c r="AU115" s="700" t="str">
        <f ca="1">IF(AV115=$AR$11,$AQ$11,IF(AV115=$AR$12,$AQ$12,VLOOKUP(AV115,Voorblad!$X$67:$Z$98,2,FALSE)))</f>
        <v>Italië</v>
      </c>
      <c r="AV115" s="701" t="str">
        <f t="shared" ca="1" si="33"/>
        <v>B3</v>
      </c>
      <c r="AW115" s="705" t="str">
        <f ca="1">IF(AX115=$AR$11,$AQ$11,IF(AX115=$AR$12,$AQ$12,VLOOKUP(AX115,Voorblad!$X$67:$Z$98,2,FALSE)))</f>
        <v>Italië</v>
      </c>
      <c r="AX115" s="706" t="str">
        <f t="shared" ca="1" si="34"/>
        <v>B3</v>
      </c>
      <c r="AY115" s="705" t="str">
        <f ca="1">IF(AZ115=$AR$11,$AQ$11,IF(AZ115=$AR$12,$AQ$12,VLOOKUP(AZ115,Voorblad!$X$67:$Z$98,2,FALSE)))</f>
        <v>Italië</v>
      </c>
      <c r="AZ115" s="706" t="str">
        <f t="shared" ca="1" si="35"/>
        <v>B3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Kroatië</v>
      </c>
      <c r="AR116" s="725" t="str">
        <f t="shared" ca="1" si="31"/>
        <v>B2</v>
      </c>
      <c r="AS116" s="700" t="str">
        <f ca="1">IF(AT116=$AR$11,$AQ$11,IF(AT116=$AR$12,$AQ$12,VLOOKUP(AT116,Voorblad!$X$67:$Z$98,2,FALSE)))</f>
        <v>Kroatië</v>
      </c>
      <c r="AT116" s="701" t="str">
        <f t="shared" ca="1" si="32"/>
        <v>B2</v>
      </c>
      <c r="AU116" s="700" t="str">
        <f ca="1">IF(AV116=$AR$11,$AQ$11,IF(AV116=$AR$12,$AQ$12,VLOOKUP(AV116,Voorblad!$X$67:$Z$98,2,FALSE)))</f>
        <v>Kroatië</v>
      </c>
      <c r="AV116" s="701" t="str">
        <f t="shared" ca="1" si="33"/>
        <v>B2</v>
      </c>
      <c r="AW116" s="705" t="str">
        <f ca="1">IF(AX116=$AR$11,$AQ$11,IF(AX116=$AR$12,$AQ$12,VLOOKUP(AX116,Voorblad!$X$67:$Z$98,2,FALSE)))</f>
        <v>Kroatië</v>
      </c>
      <c r="AX116" s="706" t="str">
        <f t="shared" ca="1" si="34"/>
        <v>B2</v>
      </c>
      <c r="AY116" s="705" t="str">
        <f ca="1">IF(AZ116=$AR$11,$AQ$11,IF(AZ116=$AR$12,$AQ$12,VLOOKUP(AZ116,Voorblad!$X$67:$Z$98,2,FALSE)))</f>
        <v>Kroatië</v>
      </c>
      <c r="AZ116" s="706" t="str">
        <f t="shared" ca="1" si="35"/>
        <v>B2</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Nederland</v>
      </c>
      <c r="AR117" s="725" t="str">
        <f t="shared" ca="1" si="31"/>
        <v>D2</v>
      </c>
      <c r="AS117" s="700" t="str">
        <f ca="1">IF(AT117=$AR$11,$AQ$11,IF(AT117=$AR$12,$AQ$12,VLOOKUP(AT117,Voorblad!$X$67:$Z$98,2,FALSE)))</f>
        <v>Nederland</v>
      </c>
      <c r="AT117" s="701" t="str">
        <f t="shared" ca="1" si="32"/>
        <v>D2</v>
      </c>
      <c r="AU117" s="700" t="str">
        <f ca="1">IF(AV117=$AR$11,$AQ$11,IF(AV117=$AR$12,$AQ$12,VLOOKUP(AV117,Voorblad!$X$67:$Z$98,2,FALSE)))</f>
        <v>Nederland</v>
      </c>
      <c r="AV117" s="701" t="str">
        <f t="shared" ca="1" si="33"/>
        <v>D2</v>
      </c>
      <c r="AW117" s="705" t="str">
        <f ca="1">IF(AX117=$AR$11,$AQ$11,IF(AX117=$AR$12,$AQ$12,VLOOKUP(AX117,Voorblad!$X$67:$Z$98,2,FALSE)))</f>
        <v>Nederland</v>
      </c>
      <c r="AX117" s="706" t="str">
        <f t="shared" ca="1" si="34"/>
        <v>D2</v>
      </c>
      <c r="AY117" s="705" t="str">
        <f ca="1">IF(AZ117=$AR$11,$AQ$11,IF(AZ117=$AR$12,$AQ$12,VLOOKUP(AZ117,Voorblad!$X$67:$Z$98,2,FALSE)))</f>
        <v>Nederland</v>
      </c>
      <c r="AZ117" s="706" t="str">
        <f t="shared" ca="1" si="35"/>
        <v>D2</v>
      </c>
      <c r="BA117" s="708">
        <f t="shared" si="36"/>
        <v>22</v>
      </c>
    </row>
    <row r="118" spans="28:53" x14ac:dyDescent="0.25">
      <c r="AB118" s="419"/>
      <c r="AC118" s="494" t="s">
        <v>1053</v>
      </c>
      <c r="AD118" s="494"/>
      <c r="AE118" s="494"/>
      <c r="AF118" s="748" t="s">
        <v>381</v>
      </c>
      <c r="AG118" s="494"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419"/>
      <c r="AI118" s="419"/>
      <c r="AJ118" s="419"/>
      <c r="AK118" s="419"/>
      <c r="AL118" s="419"/>
      <c r="AM118" s="419"/>
      <c r="AN118" s="419"/>
      <c r="AO118" s="419"/>
      <c r="AP118" s="419"/>
      <c r="AQ118" s="724" t="str">
        <f ca="1">IF(AR118=$AR$11,$AQ$11,IF(AR118=$AR$12,$AQ$12,VLOOKUP(AR118,Voorblad!$X$67:$Z$98,2,FALSE)))</f>
        <v>Oekraïne</v>
      </c>
      <c r="AR118" s="725" t="str">
        <f t="shared" ca="1" si="31"/>
        <v>E4</v>
      </c>
      <c r="AS118" s="700" t="str">
        <f ca="1">IF(AT118=$AR$11,$AQ$11,IF(AT118=$AR$12,$AQ$12,VLOOKUP(AT118,Voorblad!$X$67:$Z$98,2,FALSE)))</f>
        <v>Oekraïne</v>
      </c>
      <c r="AT118" s="701" t="str">
        <f t="shared" ca="1" si="32"/>
        <v>E4</v>
      </c>
      <c r="AU118" s="700" t="str">
        <f ca="1">IF(AV118=$AR$11,$AQ$11,IF(AV118=$AR$12,$AQ$12,VLOOKUP(AV118,Voorblad!$X$67:$Z$98,2,FALSE)))</f>
        <v>Oekraïne</v>
      </c>
      <c r="AV118" s="701" t="str">
        <f t="shared" ca="1" si="33"/>
        <v>E4</v>
      </c>
      <c r="AW118" s="705" t="str">
        <f ca="1">IF(AX118=$AR$11,$AQ$11,IF(AX118=$AR$12,$AQ$12,VLOOKUP(AX118,Voorblad!$X$67:$Z$98,2,FALSE)))</f>
        <v>Oekraïne</v>
      </c>
      <c r="AX118" s="706" t="str">
        <f t="shared" ca="1" si="34"/>
        <v>E4</v>
      </c>
      <c r="AY118" s="705" t="str">
        <f ca="1">IF(AZ118=$AR$11,$AQ$11,IF(AZ118=$AR$12,$AQ$12,VLOOKUP(AZ118,Voorblad!$X$67:$Z$98,2,FALSE)))</f>
        <v>Oekraïne</v>
      </c>
      <c r="AZ118" s="706" t="str">
        <f t="shared" ca="1" si="35"/>
        <v>E4</v>
      </c>
      <c r="BA118" s="708">
        <f t="shared" si="36"/>
        <v>24</v>
      </c>
    </row>
    <row r="119" spans="28:53" x14ac:dyDescent="0.25">
      <c r="AB119" s="419"/>
      <c r="AC119" s="494" t="s">
        <v>1054</v>
      </c>
      <c r="AD119" s="494"/>
      <c r="AE119" s="494"/>
      <c r="AF119" s="748" t="s">
        <v>381</v>
      </c>
      <c r="AG119" s="419" t="str">
        <f>IF(SUBSTITUTE(SUBSTITUTE($AG$118,"LEEG","##"),"ONGELDIG","$$")=$AG$118,"JA","NEE")</f>
        <v>NEE</v>
      </c>
      <c r="AH119" s="419"/>
      <c r="AI119" s="419"/>
      <c r="AJ119" s="419"/>
      <c r="AK119" s="419"/>
      <c r="AL119" s="419"/>
      <c r="AM119" s="419"/>
      <c r="AN119" s="419"/>
      <c r="AO119" s="419"/>
      <c r="AP119" s="419"/>
      <c r="AQ119" s="724" t="str">
        <f ca="1">IF(AR119=$AR$11,$AQ$11,IF(AR119=$AR$12,$AQ$12,VLOOKUP(AR119,Voorblad!$X$67:$Z$98,2,FALSE)))</f>
        <v>Oostenrijk</v>
      </c>
      <c r="AR119" s="725" t="str">
        <f t="shared" ca="1" si="31"/>
        <v>D3</v>
      </c>
      <c r="AS119" s="700" t="str">
        <f ca="1">IF(AT119=$AR$11,$AQ$11,IF(AT119=$AR$12,$AQ$12,VLOOKUP(AT119,Voorblad!$X$67:$Z$98,2,FALSE)))</f>
        <v>Oostenrijk</v>
      </c>
      <c r="AT119" s="701" t="str">
        <f t="shared" ca="1" si="32"/>
        <v>D3</v>
      </c>
      <c r="AU119" s="700" t="str">
        <f ca="1">IF(AV119=$AR$11,$AQ$11,IF(AV119=$AR$12,$AQ$12,VLOOKUP(AV119,Voorblad!$X$67:$Z$98,2,FALSE)))</f>
        <v>Oostenrijk</v>
      </c>
      <c r="AV119" s="701" t="str">
        <f t="shared" ca="1" si="33"/>
        <v>D3</v>
      </c>
      <c r="AW119" s="705" t="str">
        <f ca="1">IF(AX119=$AR$11,$AQ$11,IF(AX119=$AR$12,$AQ$12,VLOOKUP(AX119,Voorblad!$X$67:$Z$98,2,FALSE)))</f>
        <v>Oostenrijk</v>
      </c>
      <c r="AX119" s="706" t="str">
        <f t="shared" ca="1" si="34"/>
        <v>D3</v>
      </c>
      <c r="AY119" s="705" t="str">
        <f ca="1">IF(AZ119=$AR$11,$AQ$11,IF(AZ119=$AR$12,$AQ$12,VLOOKUP(AZ119,Voorblad!$X$67:$Z$98,2,FALSE)))</f>
        <v>Oostenrijk</v>
      </c>
      <c r="AZ119" s="706" t="str">
        <f t="shared" ca="1" si="35"/>
        <v>D3</v>
      </c>
      <c r="BA119" s="708">
        <f t="shared" ref="BA119:BA139" si="37">BA118+2</f>
        <v>26</v>
      </c>
    </row>
    <row r="120" spans="28:53" x14ac:dyDescent="0.25">
      <c r="AB120" s="419"/>
      <c r="AC120" s="494" t="s">
        <v>1886</v>
      </c>
      <c r="AD120" s="419" t="s">
        <v>69</v>
      </c>
      <c r="AE120" s="419" t="str">
        <f>Voorblad!$Z$83</f>
        <v>BE</v>
      </c>
      <c r="AF120" s="748" t="s">
        <v>381</v>
      </c>
      <c r="AG120" s="419" t="str">
        <f t="shared" ref="AG120:AG127" si="38">IF(SUBSTITUTE($AG$118,AE120,"##")=$AG$118,"NEE","JA")</f>
        <v>NEE</v>
      </c>
      <c r="AH120" s="419"/>
      <c r="AI120" s="419"/>
      <c r="AJ120" s="419"/>
      <c r="AK120" s="419"/>
      <c r="AL120" s="419"/>
      <c r="AM120" s="419"/>
      <c r="AN120" s="419"/>
      <c r="AO120" s="498" t="s">
        <v>1894</v>
      </c>
      <c r="AP120" s="499" t="str">
        <f>AG119</f>
        <v>NEE</v>
      </c>
      <c r="AQ120" s="724" t="str">
        <f ca="1">IF(AR120=$AR$11,$AQ$11,IF(AR120=$AR$12,$AQ$12,VLOOKUP(AR120,Voorblad!$X$67:$Z$98,2,FALSE)))</f>
        <v>Polen</v>
      </c>
      <c r="AR120" s="725" t="str">
        <f t="shared" ca="1" si="31"/>
        <v>D1</v>
      </c>
      <c r="AS120" s="700" t="str">
        <f ca="1">IF(AT120=$AR$11,$AQ$11,IF(AT120=$AR$12,$AQ$12,VLOOKUP(AT120,Voorblad!$X$67:$Z$98,2,FALSE)))</f>
        <v>Polen</v>
      </c>
      <c r="AT120" s="701" t="str">
        <f t="shared" ca="1" si="32"/>
        <v>D1</v>
      </c>
      <c r="AU120" s="700" t="str">
        <f ca="1">IF(AV120=$AR$11,$AQ$11,IF(AV120=$AR$12,$AQ$12,VLOOKUP(AV120,Voorblad!$X$67:$Z$98,2,FALSE)))</f>
        <v>Polen</v>
      </c>
      <c r="AV120" s="701" t="str">
        <f t="shared" ca="1" si="33"/>
        <v>D1</v>
      </c>
      <c r="AW120" s="705" t="str">
        <f ca="1">IF(AX120=$AR$11,$AQ$11,IF(AX120=$AR$12,$AQ$12,VLOOKUP(AX120,Voorblad!$X$67:$Z$98,2,FALSE)))</f>
        <v>Polen</v>
      </c>
      <c r="AX120" s="706" t="str">
        <f t="shared" ca="1" si="34"/>
        <v>D1</v>
      </c>
      <c r="AY120" s="705" t="str">
        <f ca="1">IF(AZ120=$AR$11,$AQ$11,IF(AZ120=$AR$12,$AQ$12,VLOOKUP(AZ120,Voorblad!$X$67:$Z$98,2,FALSE)))</f>
        <v>Polen</v>
      </c>
      <c r="AZ120" s="706" t="str">
        <f t="shared" ca="1" si="35"/>
        <v>D1</v>
      </c>
      <c r="BA120" s="708">
        <f t="shared" si="37"/>
        <v>28</v>
      </c>
    </row>
    <row r="121" spans="28:53" x14ac:dyDescent="0.25">
      <c r="AB121" s="419"/>
      <c r="AC121" s="494" t="s">
        <v>1887</v>
      </c>
      <c r="AD121" s="419" t="s">
        <v>69</v>
      </c>
      <c r="AE121" s="419" t="str">
        <f>Voorblad!$Z$67</f>
        <v>DE</v>
      </c>
      <c r="AF121" s="748" t="s">
        <v>381</v>
      </c>
      <c r="AG121" s="419" t="str">
        <f t="shared" si="38"/>
        <v>NEE</v>
      </c>
      <c r="AH121" s="419"/>
      <c r="AI121" s="419"/>
      <c r="AJ121" s="419"/>
      <c r="AK121" s="419"/>
      <c r="AL121" s="419"/>
      <c r="AM121" s="419"/>
      <c r="AN121" s="419"/>
      <c r="AO121" s="498" t="s">
        <v>461</v>
      </c>
      <c r="AP121" s="499">
        <f>COUNTIF(AG120:AG127,"JA")</f>
        <v>0</v>
      </c>
      <c r="AQ121" s="724" t="str">
        <f ca="1">IF(AR121=$AR$11,$AQ$11,IF(AR121=$AR$12,$AQ$12,VLOOKUP(AR121,Voorblad!$X$67:$Z$98,2,FALSE)))</f>
        <v>Portugal</v>
      </c>
      <c r="AR121" s="725" t="str">
        <f t="shared" ca="1" si="31"/>
        <v>F3</v>
      </c>
      <c r="AS121" s="700" t="str">
        <f ca="1">IF(AT121=$AR$11,$AQ$11,IF(AT121=$AR$12,$AQ$12,VLOOKUP(AT121,Voorblad!$X$67:$Z$98,2,FALSE)))</f>
        <v>Portugal</v>
      </c>
      <c r="AT121" s="701" t="str">
        <f t="shared" ca="1" si="32"/>
        <v>F3</v>
      </c>
      <c r="AU121" s="700" t="str">
        <f ca="1">IF(AV121=$AR$11,$AQ$11,IF(AV121=$AR$12,$AQ$12,VLOOKUP(AV121,Voorblad!$X$67:$Z$98,2,FALSE)))</f>
        <v>Portugal</v>
      </c>
      <c r="AV121" s="701" t="str">
        <f t="shared" ca="1" si="33"/>
        <v>F3</v>
      </c>
      <c r="AW121" s="705" t="str">
        <f ca="1">IF(AX121=$AR$11,$AQ$11,IF(AX121=$AR$12,$AQ$12,VLOOKUP(AX121,Voorblad!$X$67:$Z$98,2,FALSE)))</f>
        <v>Portugal</v>
      </c>
      <c r="AX121" s="706" t="str">
        <f t="shared" ca="1" si="34"/>
        <v>F3</v>
      </c>
      <c r="AY121" s="705" t="str">
        <f ca="1">IF(AZ121=$AR$11,$AQ$11,IF(AZ121=$AR$12,$AQ$12,VLOOKUP(AZ121,Voorblad!$X$67:$Z$98,2,FALSE)))</f>
        <v>Portugal</v>
      </c>
      <c r="AZ121" s="706" t="str">
        <f t="shared" ca="1" si="35"/>
        <v>F3</v>
      </c>
      <c r="BA121" s="708">
        <f t="shared" si="37"/>
        <v>30</v>
      </c>
    </row>
    <row r="122" spans="28:53" x14ac:dyDescent="0.25">
      <c r="AB122" s="419"/>
      <c r="AC122" s="494" t="s">
        <v>1888</v>
      </c>
      <c r="AD122" s="419" t="s">
        <v>69</v>
      </c>
      <c r="AE122" s="419" t="str">
        <f>Voorblad!$Z$78</f>
        <v>GB</v>
      </c>
      <c r="AF122" s="748" t="s">
        <v>381</v>
      </c>
      <c r="AG122" s="419" t="str">
        <f t="shared" si="38"/>
        <v>NEE</v>
      </c>
      <c r="AH122" s="419"/>
      <c r="AI122" s="419"/>
      <c r="AJ122" s="419"/>
      <c r="AK122" s="419"/>
      <c r="AL122" s="419"/>
      <c r="AM122" s="419"/>
      <c r="AN122" s="419"/>
      <c r="AO122" s="498" t="s">
        <v>1055</v>
      </c>
      <c r="AP122" s="499">
        <v>8</v>
      </c>
      <c r="AQ122" s="724" t="str">
        <f ca="1">IF(AR122=$AR$11,$AQ$11,IF(AR122=$AR$12,$AQ$12,VLOOKUP(AR122,Voorblad!$X$67:$Z$98,2,FALSE)))</f>
        <v>Roemenië</v>
      </c>
      <c r="AR122" s="725" t="str">
        <f t="shared" ca="1" si="31"/>
        <v>E3</v>
      </c>
      <c r="AS122" s="700" t="str">
        <f ca="1">IF(AT122=$AR$11,$AQ$11,IF(AT122=$AR$12,$AQ$12,VLOOKUP(AT122,Voorblad!$X$67:$Z$98,2,FALSE)))</f>
        <v>Roemenië</v>
      </c>
      <c r="AT122" s="701" t="str">
        <f t="shared" ca="1" si="32"/>
        <v>E3</v>
      </c>
      <c r="AU122" s="700" t="str">
        <f ca="1">IF(AV122=$AR$11,$AQ$11,IF(AV122=$AR$12,$AQ$12,VLOOKUP(AV122,Voorblad!$X$67:$Z$98,2,FALSE)))</f>
        <v>Roemenië</v>
      </c>
      <c r="AV122" s="701" t="str">
        <f t="shared" ca="1" si="33"/>
        <v>E3</v>
      </c>
      <c r="AW122" s="705" t="str">
        <f ca="1">IF(AX122=$AR$11,$AQ$11,IF(AX122=$AR$12,$AQ$12,VLOOKUP(AX122,Voorblad!$X$67:$Z$98,2,FALSE)))</f>
        <v>Roemenië</v>
      </c>
      <c r="AX122" s="706" t="str">
        <f t="shared" ca="1" si="34"/>
        <v>E3</v>
      </c>
      <c r="AY122" s="705" t="str">
        <f ca="1">IF(AZ122=$AR$11,$AQ$11,IF(AZ122=$AR$12,$AQ$12,VLOOKUP(AZ122,Voorblad!$X$67:$Z$98,2,FALSE)))</f>
        <v>Roemenië</v>
      </c>
      <c r="AZ122" s="706" t="str">
        <f t="shared" ca="1" si="35"/>
        <v>E3</v>
      </c>
      <c r="BA122" s="708">
        <f t="shared" si="37"/>
        <v>32</v>
      </c>
    </row>
    <row r="123" spans="28:53" x14ac:dyDescent="0.25">
      <c r="AB123" s="419"/>
      <c r="AC123" s="494" t="s">
        <v>1889</v>
      </c>
      <c r="AD123" s="419" t="s">
        <v>69</v>
      </c>
      <c r="AE123" s="419" t="str">
        <f>Voorblad!$Z$82</f>
        <v>FR</v>
      </c>
      <c r="AF123" s="748" t="s">
        <v>381</v>
      </c>
      <c r="AG123" s="419" t="str">
        <f t="shared" si="38"/>
        <v>NEE</v>
      </c>
      <c r="AH123" s="419"/>
      <c r="AI123" s="419"/>
      <c r="AJ123" s="419"/>
      <c r="AK123" s="419"/>
      <c r="AL123" s="419"/>
      <c r="AM123" s="419"/>
      <c r="AN123" s="419"/>
      <c r="AO123" s="498" t="s">
        <v>462</v>
      </c>
      <c r="AP123" s="499">
        <f>COUNTIF(AG120:AG127,"NEE")</f>
        <v>8</v>
      </c>
      <c r="AQ123" s="724" t="str">
        <f ca="1">IF(AR123=$AR$11,$AQ$11,IF(AR123=$AR$12,$AQ$12,VLOOKUP(AR123,Voorblad!$X$67:$Z$98,2,FALSE)))</f>
        <v>Schotland</v>
      </c>
      <c r="AR123" s="725" t="str">
        <f t="shared" ca="1" si="31"/>
        <v>A2</v>
      </c>
      <c r="AS123" s="700" t="str">
        <f ca="1">IF(AT123=$AR$11,$AQ$11,IF(AT123=$AR$12,$AQ$12,VLOOKUP(AT123,Voorblad!$X$67:$Z$98,2,FALSE)))</f>
        <v>Schotland</v>
      </c>
      <c r="AT123" s="701" t="str">
        <f t="shared" ca="1" si="32"/>
        <v>A2</v>
      </c>
      <c r="AU123" s="700" t="str">
        <f ca="1">IF(AV123=$AR$11,$AQ$11,IF(AV123=$AR$12,$AQ$12,VLOOKUP(AV123,Voorblad!$X$67:$Z$98,2,FALSE)))</f>
        <v>Schotland</v>
      </c>
      <c r="AV123" s="701" t="str">
        <f t="shared" ca="1" si="33"/>
        <v>A2</v>
      </c>
      <c r="AW123" s="705" t="str">
        <f ca="1">IF(AX123=$AR$11,$AQ$11,IF(AX123=$AR$12,$AQ$12,VLOOKUP(AX123,Voorblad!$X$67:$Z$98,2,FALSE)))</f>
        <v>Schotland</v>
      </c>
      <c r="AX123" s="706" t="str">
        <f t="shared" ca="1" si="34"/>
        <v>A2</v>
      </c>
      <c r="AY123" s="705" t="str">
        <f ca="1">IF(AZ123=$AR$11,$AQ$11,IF(AZ123=$AR$12,$AQ$12,VLOOKUP(AZ123,Voorblad!$X$67:$Z$98,2,FALSE)))</f>
        <v>Schotland</v>
      </c>
      <c r="AZ123" s="706" t="str">
        <f t="shared" ca="1" si="35"/>
        <v>A2</v>
      </c>
      <c r="BA123" s="708">
        <f t="shared" si="37"/>
        <v>34</v>
      </c>
    </row>
    <row r="124" spans="28:53" x14ac:dyDescent="0.25">
      <c r="AB124" s="419"/>
      <c r="AC124" s="494" t="s">
        <v>1890</v>
      </c>
      <c r="AD124" s="419" t="s">
        <v>69</v>
      </c>
      <c r="AE124" s="419" t="str">
        <f>Voorblad!$Z$73</f>
        <v>IT</v>
      </c>
      <c r="AF124" s="748" t="s">
        <v>381</v>
      </c>
      <c r="AG124" s="419" t="str">
        <f t="shared" si="38"/>
        <v>NEE</v>
      </c>
      <c r="AH124" s="419"/>
      <c r="AI124" s="419"/>
      <c r="AJ124" s="419"/>
      <c r="AK124" s="419"/>
      <c r="AL124" s="419"/>
      <c r="AM124" s="419"/>
      <c r="AN124" s="748" t="s">
        <v>381</v>
      </c>
      <c r="AO124" s="497" t="str">
        <f>IF(AP121&gt;=AP122,"JA",IF(AP120="NEE","onvoldoende gegevens","NEE"))</f>
        <v>onvoldoende gegevens</v>
      </c>
      <c r="AP124" s="749"/>
      <c r="AQ124" s="724" t="str">
        <f ca="1">IF(AR124=$AR$11,$AQ$11,IF(AR124=$AR$12,$AQ$12,VLOOKUP(AR124,Voorblad!$X$67:$Z$98,2,FALSE)))</f>
        <v>Servië</v>
      </c>
      <c r="AR124" s="725" t="str">
        <f t="shared" ca="1" si="31"/>
        <v>C3</v>
      </c>
      <c r="AS124" s="700" t="str">
        <f ca="1">IF(AT124=$AR$11,$AQ$11,IF(AT124=$AR$12,$AQ$12,VLOOKUP(AT124,Voorblad!$X$67:$Z$98,2,FALSE)))</f>
        <v>Servië</v>
      </c>
      <c r="AT124" s="701" t="str">
        <f t="shared" ca="1" si="32"/>
        <v>C3</v>
      </c>
      <c r="AU124" s="700" t="str">
        <f ca="1">IF(AV124=$AR$11,$AQ$11,IF(AV124=$AR$12,$AQ$12,VLOOKUP(AV124,Voorblad!$X$67:$Z$98,2,FALSE)))</f>
        <v>Servië</v>
      </c>
      <c r="AV124" s="701" t="str">
        <f t="shared" ca="1" si="33"/>
        <v>C3</v>
      </c>
      <c r="AW124" s="705" t="str">
        <f ca="1">IF(AX124=$AR$11,$AQ$11,IF(AX124=$AR$12,$AQ$12,VLOOKUP(AX124,Voorblad!$X$67:$Z$98,2,FALSE)))</f>
        <v>Servië</v>
      </c>
      <c r="AX124" s="706" t="str">
        <f t="shared" ca="1" si="34"/>
        <v>C3</v>
      </c>
      <c r="AY124" s="705" t="str">
        <f ca="1">IF(AZ124=$AR$11,$AQ$11,IF(AZ124=$AR$12,$AQ$12,VLOOKUP(AZ124,Voorblad!$X$67:$Z$98,2,FALSE)))</f>
        <v>Servië</v>
      </c>
      <c r="AZ124" s="706" t="str">
        <f t="shared" ca="1" si="35"/>
        <v>C3</v>
      </c>
      <c r="BA124" s="708">
        <f t="shared" si="37"/>
        <v>36</v>
      </c>
    </row>
    <row r="125" spans="28:53" x14ac:dyDescent="0.25">
      <c r="AB125" s="419"/>
      <c r="AC125" s="494" t="s">
        <v>1891</v>
      </c>
      <c r="AD125" s="419" t="s">
        <v>69</v>
      </c>
      <c r="AE125" s="419" t="str">
        <f>Voorblad!$Z$80</f>
        <v>NL</v>
      </c>
      <c r="AF125" s="748" t="s">
        <v>381</v>
      </c>
      <c r="AG125" s="419" t="str">
        <f t="shared" si="38"/>
        <v>NEE</v>
      </c>
      <c r="AH125" s="419"/>
      <c r="AI125" s="419"/>
      <c r="AJ125" s="419"/>
      <c r="AK125" s="419"/>
      <c r="AL125" s="419"/>
      <c r="AM125" s="419"/>
      <c r="AN125" s="379"/>
      <c r="AO125" s="379"/>
      <c r="AP125" s="750"/>
      <c r="AQ125" s="724" t="str">
        <f ca="1">IF(AR125=$AR$11,$AQ$11,IF(AR125=$AR$12,$AQ$12,VLOOKUP(AR125,Voorblad!$X$67:$Z$98,2,FALSE)))</f>
        <v>Slovenië</v>
      </c>
      <c r="AR125" s="725" t="str">
        <f t="shared" ca="1" si="31"/>
        <v>C1</v>
      </c>
      <c r="AS125" s="700" t="str">
        <f ca="1">IF(AT125=$AR$11,$AQ$11,IF(AT125=$AR$12,$AQ$12,VLOOKUP(AT125,Voorblad!$X$67:$Z$98,2,FALSE)))</f>
        <v>Slovenië</v>
      </c>
      <c r="AT125" s="701" t="str">
        <f t="shared" ca="1" si="32"/>
        <v>C1</v>
      </c>
      <c r="AU125" s="700" t="str">
        <f ca="1">IF(AV125=$AR$11,$AQ$11,IF(AV125=$AR$12,$AQ$12,VLOOKUP(AV125,Voorblad!$X$67:$Z$98,2,FALSE)))</f>
        <v>Slovenië</v>
      </c>
      <c r="AV125" s="701" t="str">
        <f t="shared" ca="1" si="33"/>
        <v>C1</v>
      </c>
      <c r="AW125" s="705" t="str">
        <f ca="1">IF(AX125=$AR$11,$AQ$11,IF(AX125=$AR$12,$AQ$12,VLOOKUP(AX125,Voorblad!$X$67:$Z$98,2,FALSE)))</f>
        <v>Slovenië</v>
      </c>
      <c r="AX125" s="706" t="str">
        <f t="shared" ca="1" si="34"/>
        <v>C1</v>
      </c>
      <c r="AY125" s="705" t="str">
        <f ca="1">IF(AZ125=$AR$11,$AQ$11,IF(AZ125=$AR$12,$AQ$12,VLOOKUP(AZ125,Voorblad!$X$67:$Z$98,2,FALSE)))</f>
        <v>Slovenië</v>
      </c>
      <c r="AZ125" s="706" t="str">
        <f t="shared" ca="1" si="35"/>
        <v>C1</v>
      </c>
      <c r="BA125" s="708">
        <f t="shared" si="37"/>
        <v>38</v>
      </c>
    </row>
    <row r="126" spans="28:53" x14ac:dyDescent="0.25">
      <c r="AB126" s="379"/>
      <c r="AC126" s="494" t="s">
        <v>1892</v>
      </c>
      <c r="AD126" s="419" t="s">
        <v>69</v>
      </c>
      <c r="AE126" s="419" t="str">
        <f>Voorblad!$Z$89</f>
        <v>PT</v>
      </c>
      <c r="AF126" s="748" t="s">
        <v>381</v>
      </c>
      <c r="AG126" s="419" t="str">
        <f t="shared" si="38"/>
        <v>NEE</v>
      </c>
      <c r="AH126" s="379"/>
      <c r="AI126" s="379"/>
      <c r="AJ126" s="379"/>
      <c r="AK126" s="379"/>
      <c r="AL126" s="379"/>
      <c r="AM126" s="379"/>
      <c r="AN126" s="379"/>
      <c r="AO126" s="379"/>
      <c r="AP126" s="750"/>
      <c r="AQ126" s="724" t="str">
        <f ca="1">IF(AR126=$AR$11,$AQ$11,IF(AR126=$AR$12,$AQ$12,VLOOKUP(AR126,Voorblad!$X$67:$Z$98,2,FALSE)))</f>
        <v>Slowakije</v>
      </c>
      <c r="AR126" s="725" t="str">
        <f t="shared" ca="1" si="31"/>
        <v>E2</v>
      </c>
      <c r="AS126" s="700" t="str">
        <f ca="1">IF(AT126=$AR$11,$AQ$11,IF(AT126=$AR$12,$AQ$12,VLOOKUP(AT126,Voorblad!$X$67:$Z$98,2,FALSE)))</f>
        <v>Slowakije</v>
      </c>
      <c r="AT126" s="701" t="str">
        <f t="shared" ca="1" si="32"/>
        <v>E2</v>
      </c>
      <c r="AU126" s="700" t="str">
        <f ca="1">IF(AV126=$AR$11,$AQ$11,IF(AV126=$AR$12,$AQ$12,VLOOKUP(AV126,Voorblad!$X$67:$Z$98,2,FALSE)))</f>
        <v>Slowakije</v>
      </c>
      <c r="AV126" s="701" t="str">
        <f t="shared" ca="1" si="33"/>
        <v>E2</v>
      </c>
      <c r="AW126" s="705" t="str">
        <f ca="1">IF(AX126=$AR$11,$AQ$11,IF(AX126=$AR$12,$AQ$12,VLOOKUP(AX126,Voorblad!$X$67:$Z$98,2,FALSE)))</f>
        <v>Slowakije</v>
      </c>
      <c r="AX126" s="706" t="str">
        <f t="shared" ca="1" si="34"/>
        <v>E2</v>
      </c>
      <c r="AY126" s="705" t="str">
        <f ca="1">IF(AZ126=$AR$11,$AQ$11,IF(AZ126=$AR$12,$AQ$12,VLOOKUP(AZ126,Voorblad!$X$67:$Z$98,2,FALSE)))</f>
        <v>Slowakije</v>
      </c>
      <c r="AZ126" s="706" t="str">
        <f t="shared" ca="1" si="35"/>
        <v>E2</v>
      </c>
      <c r="BA126" s="708">
        <f t="shared" si="37"/>
        <v>40</v>
      </c>
    </row>
    <row r="127" spans="28:53" x14ac:dyDescent="0.25">
      <c r="AB127" s="376"/>
      <c r="AC127" s="494" t="s">
        <v>1893</v>
      </c>
      <c r="AD127" s="419" t="s">
        <v>69</v>
      </c>
      <c r="AE127" s="419" t="str">
        <f>Voorblad!$Z$71</f>
        <v>ES</v>
      </c>
      <c r="AF127" s="748" t="s">
        <v>381</v>
      </c>
      <c r="AG127" s="419" t="str">
        <f t="shared" si="38"/>
        <v>NEE</v>
      </c>
      <c r="AH127" s="376"/>
      <c r="AI127" s="376"/>
      <c r="AJ127" s="376"/>
      <c r="AK127" s="376"/>
      <c r="AL127" s="376"/>
      <c r="AM127" s="376"/>
      <c r="AN127" s="376"/>
      <c r="AO127" s="376"/>
      <c r="AP127" s="751"/>
      <c r="AQ127" s="724" t="str">
        <f ca="1">IF(AR127=$AR$11,$AQ$11,IF(AR127=$AR$12,$AQ$12,VLOOKUP(AR127,Voorblad!$X$67:$Z$98,2,FALSE)))</f>
        <v>Spanje</v>
      </c>
      <c r="AR127" s="725" t="str">
        <f t="shared" ca="1" si="31"/>
        <v>B1</v>
      </c>
      <c r="AS127" s="700" t="str">
        <f ca="1">IF(AT127=$AR$11,$AQ$11,IF(AT127=$AR$12,$AQ$12,VLOOKUP(AT127,Voorblad!$X$67:$Z$98,2,FALSE)))</f>
        <v>Spanje</v>
      </c>
      <c r="AT127" s="701" t="str">
        <f t="shared" ca="1" si="32"/>
        <v>B1</v>
      </c>
      <c r="AU127" s="700" t="str">
        <f ca="1">IF(AV127=$AR$11,$AQ$11,IF(AV127=$AR$12,$AQ$12,VLOOKUP(AV127,Voorblad!$X$67:$Z$98,2,FALSE)))</f>
        <v>Spanje</v>
      </c>
      <c r="AV127" s="701" t="str">
        <f t="shared" ca="1" si="33"/>
        <v>B1</v>
      </c>
      <c r="AW127" s="705" t="str">
        <f ca="1">IF(AX127=$AR$11,$AQ$11,IF(AX127=$AR$12,$AQ$12,VLOOKUP(AX127,Voorblad!$X$67:$Z$98,2,FALSE)))</f>
        <v>Spanje</v>
      </c>
      <c r="AX127" s="706" t="str">
        <f t="shared" ca="1" si="34"/>
        <v>B1</v>
      </c>
      <c r="AY127" s="705" t="str">
        <f ca="1">IF(AZ127=$AR$11,$AQ$11,IF(AZ127=$AR$12,$AQ$12,VLOOKUP(AZ127,Voorblad!$X$67:$Z$98,2,FALSE)))</f>
        <v>Spanje</v>
      </c>
      <c r="AZ127" s="706" t="str">
        <f t="shared" ca="1" si="35"/>
        <v>B1</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Tsjechië</v>
      </c>
      <c r="AR128" s="725" t="str">
        <f t="shared" ca="1" si="31"/>
        <v>F4</v>
      </c>
      <c r="AS128" s="700" t="str">
        <f ca="1">IF(AT128=$AR$11,$AQ$11,IF(AT128=$AR$12,$AQ$12,VLOOKUP(AT128,Voorblad!$X$67:$Z$98,2,FALSE)))</f>
        <v>Tsjechië</v>
      </c>
      <c r="AT128" s="701" t="str">
        <f t="shared" ca="1" si="32"/>
        <v>F4</v>
      </c>
      <c r="AU128" s="700" t="str">
        <f ca="1">IF(AV128=$AR$11,$AQ$11,IF(AV128=$AR$12,$AQ$12,VLOOKUP(AV128,Voorblad!$X$67:$Z$98,2,FALSE)))</f>
        <v>Tsjechië</v>
      </c>
      <c r="AV128" s="701" t="str">
        <f t="shared" ca="1" si="33"/>
        <v>F4</v>
      </c>
      <c r="AW128" s="705" t="str">
        <f ca="1">IF(AX128=$AR$11,$AQ$11,IF(AX128=$AR$12,$AQ$12,VLOOKUP(AX128,Voorblad!$X$67:$Z$98,2,FALSE)))</f>
        <v>Tsjechië</v>
      </c>
      <c r="AX128" s="706" t="str">
        <f t="shared" ca="1" si="34"/>
        <v>F4</v>
      </c>
      <c r="AY128" s="705" t="str">
        <f ca="1">IF(AZ128=$AR$11,$AQ$11,IF(AZ128=$AR$12,$AQ$12,VLOOKUP(AZ128,Voorblad!$X$67:$Z$98,2,FALSE)))</f>
        <v>Tsjechië</v>
      </c>
      <c r="AZ128" s="706" t="str">
        <f t="shared" ca="1" si="35"/>
        <v>F4</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COUNTIF(AM130:AM133,"onvoldoende gegevens")</f>
        <v>4</v>
      </c>
      <c r="AQ129" s="724" t="str">
        <f ca="1">IF(AR129=$AR$11,$AQ$11,IF(AR129=$AR$12,$AQ$12,VLOOKUP(AR129,Voorblad!$X$67:$Z$98,2,FALSE)))</f>
        <v>Turkije</v>
      </c>
      <c r="AR129" s="725" t="str">
        <f t="shared" ca="1" si="31"/>
        <v>F1</v>
      </c>
      <c r="AS129" s="700" t="str">
        <f ca="1">IF(AT129=$AR$11,$AQ$11,IF(AT129=$AR$12,$AQ$12,VLOOKUP(AT129,Voorblad!$X$67:$Z$98,2,FALSE)))</f>
        <v>Turkije</v>
      </c>
      <c r="AT129" s="701" t="str">
        <f t="shared" ca="1" si="32"/>
        <v>F1</v>
      </c>
      <c r="AU129" s="700" t="str">
        <f ca="1">IF(AV129=$AR$11,$AQ$11,IF(AV129=$AR$12,$AQ$12,VLOOKUP(AV129,Voorblad!$X$67:$Z$98,2,FALSE)))</f>
        <v>Turkije</v>
      </c>
      <c r="AV129" s="701" t="str">
        <f t="shared" ca="1" si="33"/>
        <v>F1</v>
      </c>
      <c r="AW129" s="705" t="str">
        <f ca="1">IF(AX129=$AR$11,$AQ$11,IF(AX129=$AR$12,$AQ$12,VLOOKUP(AX129,Voorblad!$X$67:$Z$98,2,FALSE)))</f>
        <v>Turkije</v>
      </c>
      <c r="AX129" s="706" t="str">
        <f t="shared" ca="1" si="34"/>
        <v>F1</v>
      </c>
      <c r="AY129" s="705" t="str">
        <f ca="1">IF(AZ129=$AR$11,$AQ$11,IF(AZ129=$AR$12,$AQ$12,VLOOKUP(AZ129,Voorblad!$X$67:$Z$98,2,FALSE)))</f>
        <v>Turkije</v>
      </c>
      <c r="AZ129" s="706" t="str">
        <f t="shared" ca="1" si="35"/>
        <v>F1</v>
      </c>
      <c r="BA129" s="708">
        <f t="shared" si="37"/>
        <v>46</v>
      </c>
    </row>
    <row r="130" spans="28:53" x14ac:dyDescent="0.25">
      <c r="AB130" s="419"/>
      <c r="AC130" s="494" t="s">
        <v>2449</v>
      </c>
      <c r="AD130" s="419"/>
      <c r="AE130" s="419" t="s">
        <v>69</v>
      </c>
      <c r="AF130" s="419" t="str">
        <f>IF($AL$18="GOED",$AF$18,$AL$18)</f>
        <v>LEEG</v>
      </c>
      <c r="AG130" s="419" t="s">
        <v>424</v>
      </c>
      <c r="AH130" s="494" t="s">
        <v>2440</v>
      </c>
      <c r="AI130" s="419"/>
      <c r="AJ130" s="419" t="s">
        <v>69</v>
      </c>
      <c r="AK130" s="419" t="str">
        <f>IF($AK$40="GOED",$AD$40,$AK$40)</f>
        <v>LEEG</v>
      </c>
      <c r="AL130" s="748" t="s">
        <v>381</v>
      </c>
      <c r="AM130" s="494" t="str">
        <f>IF(OR(AF130="LEEG",AF130="FOUT",AF130="ONGELDIG",AK130="LEEG",AK130="FOUT",AK130="ONGELDIG"),"onvoldoende gegevens",IF(AF130=AK130,"JA","NEE"))</f>
        <v>onvoldoende gegevens</v>
      </c>
      <c r="AN130" s="419"/>
      <c r="AO130" s="498" t="s">
        <v>461</v>
      </c>
      <c r="AP130" s="757">
        <f>COUNTIF(AM130:AM133,"JA")</f>
        <v>0</v>
      </c>
      <c r="AQ130" s="724" t="str">
        <f ca="1">IF(AR130=$AR$11,$AQ$11,IF(AR130=$AR$12,$AQ$12,VLOOKUP(AR130,Voorblad!$X$67:$Z$98,2,FALSE)))</f>
        <v>Zwitserland</v>
      </c>
      <c r="AR130" s="725" t="str">
        <f t="shared" ca="1" si="31"/>
        <v>A4</v>
      </c>
      <c r="AS130" s="700" t="str">
        <f ca="1">IF(AT130=$AR$11,$AQ$11,IF(AT130=$AR$12,$AQ$12,VLOOKUP(AT130,Voorblad!$X$67:$Z$98,2,FALSE)))</f>
        <v>Zwitserland</v>
      </c>
      <c r="AT130" s="701" t="str">
        <f t="shared" ca="1" si="32"/>
        <v>A4</v>
      </c>
      <c r="AU130" s="700" t="str">
        <f ca="1">IF(AV130=$AR$11,$AQ$11,IF(AV130=$AR$12,$AQ$12,VLOOKUP(AV130,Voorblad!$X$67:$Z$98,2,FALSE)))</f>
        <v>Zwitserland</v>
      </c>
      <c r="AV130" s="701" t="str">
        <f t="shared" ca="1" si="33"/>
        <v>A4</v>
      </c>
      <c r="AW130" s="705" t="str">
        <f ca="1">IF(AX130=$AR$11,$AQ$11,IF(AX130=$AR$12,$AQ$12,VLOOKUP(AX130,Voorblad!$X$67:$Z$98,2,FALSE)))</f>
        <v>Zwitserland</v>
      </c>
      <c r="AX130" s="706" t="str">
        <f t="shared" ca="1" si="34"/>
        <v>A4</v>
      </c>
      <c r="AY130" s="705" t="str">
        <f ca="1">IF(AZ130=$AR$11,$AQ$11,IF(AZ130=$AR$12,$AQ$12,VLOOKUP(AZ130,Voorblad!$X$67:$Z$98,2,FALSE)))</f>
        <v>Zwitserland</v>
      </c>
      <c r="AZ130" s="706" t="str">
        <f t="shared" ca="1" si="35"/>
        <v>A4</v>
      </c>
      <c r="BA130" s="708">
        <f t="shared" si="37"/>
        <v>48</v>
      </c>
    </row>
    <row r="131" spans="28:53" x14ac:dyDescent="0.25">
      <c r="AB131" s="419"/>
      <c r="AC131" s="494" t="s">
        <v>2450</v>
      </c>
      <c r="AD131" s="419"/>
      <c r="AE131" s="419" t="s">
        <v>69</v>
      </c>
      <c r="AF131" s="419" t="str">
        <f>IF($AL$20="GOED",$AF$20,$AL$20)</f>
        <v>LEEG</v>
      </c>
      <c r="AG131" s="419" t="s">
        <v>424</v>
      </c>
      <c r="AH131" s="494" t="s">
        <v>2442</v>
      </c>
      <c r="AI131" s="419"/>
      <c r="AJ131" s="419" t="s">
        <v>69</v>
      </c>
      <c r="AK131" s="419" t="str">
        <f>IF($AK$36="GOED",$AD$36,$AK$36)</f>
        <v>LEEG</v>
      </c>
      <c r="AL131" s="748" t="s">
        <v>381</v>
      </c>
      <c r="AM131" s="494" t="str">
        <f>IF(OR(AF131="LEEG",AF131="FOUT",AF131="ONGELDIG",AK131="LEEG",AK131="FOUT",AK131="ONGELDIG"),"onvoldoende gegevens",IF(AF131=AK131,"JA","NEE"))</f>
        <v>onvoldoende gegevens</v>
      </c>
      <c r="AN131" s="419"/>
      <c r="AO131" s="498" t="s">
        <v>1055</v>
      </c>
      <c r="AP131" s="757">
        <v>1</v>
      </c>
      <c r="AQ131" s="724" t="str">
        <f ca="1">IF(AR131=$AR$11,$AQ$11,IF(AR131=$AR$12,$AQ$12,VLOOKUP(AR131,Voorblad!$X$67:$Z$98,2,FALSE)))</f>
        <v/>
      </c>
      <c r="AR131" s="725" t="str">
        <f t="shared" ca="1" si="31"/>
        <v>??</v>
      </c>
      <c r="AS131" s="700" t="str">
        <f ca="1">IF(AT131=$AR$11,$AQ$11,IF(AT131=$AR$12,$AQ$12,VLOOKUP(AT131,Voorblad!$X$67:$Z$98,2,FALSE)))</f>
        <v/>
      </c>
      <c r="AT131" s="701" t="str">
        <f t="shared" ca="1" si="32"/>
        <v>??</v>
      </c>
      <c r="AU131" s="700" t="str">
        <f ca="1">IF(AV131=$AR$11,$AQ$11,IF(AV131=$AR$12,$AQ$12,VLOOKUP(AV131,Voorblad!$X$67:$Z$98,2,FALSE)))</f>
        <v/>
      </c>
      <c r="AV131" s="701" t="str">
        <f t="shared" ca="1" si="33"/>
        <v>??</v>
      </c>
      <c r="AW131" s="705" t="str">
        <f ca="1">IF(AX131=$AR$11,$AQ$11,IF(AX131=$AR$12,$AQ$12,VLOOKUP(AX131,Voorblad!$X$67:$Z$98,2,FALSE)))</f>
        <v/>
      </c>
      <c r="AX131" s="706" t="str">
        <f t="shared" ca="1" si="34"/>
        <v>??</v>
      </c>
      <c r="AY131" s="705" t="str">
        <f ca="1">IF(AZ131=$AR$11,$AQ$11,IF(AZ131=$AR$12,$AQ$12,VLOOKUP(AZ131,Voorblad!$X$67:$Z$98,2,FALSE)))</f>
        <v/>
      </c>
      <c r="AZ131" s="706" t="str">
        <f t="shared" ca="1" si="35"/>
        <v>??</v>
      </c>
      <c r="BA131" s="708">
        <f t="shared" si="37"/>
        <v>50</v>
      </c>
    </row>
    <row r="132" spans="28:53" x14ac:dyDescent="0.25">
      <c r="AB132" s="419"/>
      <c r="AC132" s="494" t="s">
        <v>2451</v>
      </c>
      <c r="AD132" s="419"/>
      <c r="AE132" s="419" t="s">
        <v>69</v>
      </c>
      <c r="AF132" s="419" t="str">
        <f>IF($AL$24="GOED",$AF$24,$AL$24)</f>
        <v>LEEG</v>
      </c>
      <c r="AG132" s="419" t="s">
        <v>424</v>
      </c>
      <c r="AH132" s="494" t="s">
        <v>2443</v>
      </c>
      <c r="AI132" s="419"/>
      <c r="AJ132" s="419" t="s">
        <v>69</v>
      </c>
      <c r="AK132" s="419" t="str">
        <f>IF($AK$38="GOED",$AD$38,$AK$38)</f>
        <v>LEEG</v>
      </c>
      <c r="AL132" s="748" t="s">
        <v>381</v>
      </c>
      <c r="AM132" s="494" t="str">
        <f>IF(OR(AF132="LEEG",AF132="FOUT",AF132="ONGELDIG",AK132="LEEG",AK132="FOUT",AK132="ONGELDIG"),"onvoldoende gegevens",IF(AF132=AK132,"JA","NEE"))</f>
        <v>onvoldoende gegevens</v>
      </c>
      <c r="AN132" s="494"/>
      <c r="AO132" s="498" t="s">
        <v>462</v>
      </c>
      <c r="AP132" s="757">
        <f>COUNTIF(AM130:AM133,"NEE")</f>
        <v>0</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IF($AL$26="GOED",$AF$26,$AL$26)</f>
        <v>LEEG</v>
      </c>
      <c r="AG133" s="419" t="s">
        <v>424</v>
      </c>
      <c r="AH133" s="494" t="s">
        <v>2444</v>
      </c>
      <c r="AI133" s="419"/>
      <c r="AJ133" s="419" t="s">
        <v>69</v>
      </c>
      <c r="AK133" s="419" t="str">
        <f>IF($AK$42="GOED",$AD$42,$AK$42)</f>
        <v>LEEG</v>
      </c>
      <c r="AL133" s="748" t="s">
        <v>381</v>
      </c>
      <c r="AM133" s="494" t="str">
        <f>IF(OR(AF133="LEEG",AF133="FOUT",AF133="ONGELDIG",AK133="LEEG",AK133="FOUT",AK133="ONGELDIG"),"onvoldoende gegevens",IF(AF133=AK133,"JA","NEE"))</f>
        <v>onvoldoende gegevens</v>
      </c>
      <c r="AN133" s="748" t="s">
        <v>381</v>
      </c>
      <c r="AO133" s="497" t="str">
        <f>IF(AP130&gt;=AP131,"JA",IF(AP129&gt;0,"onvoldoende gegevens","NEE"))</f>
        <v>onvoldoende gegevens</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IF($AF$139="HUIDIG BLAD",IF($AK$16="GOED",$AD$16,$AK$16),IF('Eindstand Groep'!$Y$15="FOUT","FOUT",LEFT('Eindstand Groep'!$Y$15,2)))</f>
        <v>FOUT</v>
      </c>
      <c r="AF140" s="419"/>
      <c r="AG140" s="419" t="s">
        <v>424</v>
      </c>
      <c r="AH140" s="494" t="s">
        <v>2439</v>
      </c>
      <c r="AI140" s="419"/>
      <c r="AJ140" s="419" t="s">
        <v>69</v>
      </c>
      <c r="AK140" s="419" t="str">
        <f>IF($AK$38="GOED",$AD$38,$AK$38)</f>
        <v>LEEG</v>
      </c>
      <c r="AL140" s="748" t="s">
        <v>381</v>
      </c>
      <c r="AM140" s="494" t="str">
        <f>IF(OR(AE140="LEEG",AE140="FOUT",AE140="ONGELDIG",AK140="LEEG",AK140="FOUT",AK140="ONGELDIG"),"onvoldoende gegevens",IF(AE140=AK140,"JA","NEE"))</f>
        <v>onvoldoende gegevens</v>
      </c>
      <c r="AN140" s="419"/>
      <c r="AO140" s="498" t="s">
        <v>460</v>
      </c>
      <c r="AP140" s="757">
        <f>COUNTIF(AM140:AM147,"onvoldoende gegevens")</f>
        <v>6</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IF($AF$139="HUIDIG BLAD",IF($AK$18="GOED",$AD$18,$AK$18),IF('Eindstand Groep'!$Y$25="FOUT","FOUT",LEFT('Eindstand Groep'!$Y$25,2)))</f>
        <v>FOUT</v>
      </c>
      <c r="AF141" s="419"/>
      <c r="AG141" s="419" t="s">
        <v>424</v>
      </c>
      <c r="AH141" s="494" t="s">
        <v>2440</v>
      </c>
      <c r="AI141" s="419"/>
      <c r="AJ141" s="419" t="s">
        <v>69</v>
      </c>
      <c r="AK141" s="419" t="str">
        <f>IF($AK$42="GOED",$AD$42,$AK$42)</f>
        <v>LEEG</v>
      </c>
      <c r="AL141" s="748" t="s">
        <v>381</v>
      </c>
      <c r="AM141" s="494" t="str">
        <f t="shared" ref="AM141:AM147" si="39">IF(OR(AE141="LEEG",AE141="FOUT",AE141="ONGELDIG",AK141="LEEG",AK141="FOUT",AK141="ONGELDIG"),"onvoldoende gegevens",IF(AE141=AK141,"JA","NEE"))</f>
        <v>onvoldoende gegevens</v>
      </c>
      <c r="AN141" s="419"/>
      <c r="AO141" s="498" t="s">
        <v>461</v>
      </c>
      <c r="AP141" s="757">
        <f>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IF($AF$139="HUIDIG BLAD",IF($AK$20="GOED",$AD$20,$AK$20),IF('Eindstand Groep'!$Z$15="FOUT","FOUT",LEFT('Eindstand Groep'!$Z$15,2)))</f>
        <v>FOUT</v>
      </c>
      <c r="AF142" s="419"/>
      <c r="AG142" s="419" t="s">
        <v>424</v>
      </c>
      <c r="AH142" s="494" t="s">
        <v>2442</v>
      </c>
      <c r="AI142" s="419"/>
      <c r="AJ142" s="419" t="s">
        <v>69</v>
      </c>
      <c r="AK142" s="419" t="str">
        <f>IF($AK$38="GOED",$AF$38,$AK$38)</f>
        <v>LEEG</v>
      </c>
      <c r="AL142" s="748" t="s">
        <v>381</v>
      </c>
      <c r="AM142" s="494" t="str">
        <f t="shared" si="39"/>
        <v>onvoldoende gegevens</v>
      </c>
      <c r="AN142" s="419"/>
      <c r="AO142" s="498" t="s">
        <v>1055</v>
      </c>
      <c r="AP142" s="757">
        <v>5</v>
      </c>
      <c r="AQ142" s="1250"/>
      <c r="AR142" s="1250"/>
      <c r="AS142" s="1250"/>
      <c r="AT142" s="1250"/>
      <c r="AU142" s="1250"/>
      <c r="AV142" s="1250"/>
      <c r="AW142" s="1250"/>
      <c r="AX142" s="1250"/>
      <c r="AY142" s="285" t="str">
        <f>Voorblad!Z67</f>
        <v>DE</v>
      </c>
      <c r="AZ142" s="285">
        <f t="shared" ref="AZ142:AZ173"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0</v>
      </c>
      <c r="BA142" s="285">
        <f t="shared" ref="BA142:BA173"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0</v>
      </c>
    </row>
    <row r="143" spans="28:53" x14ac:dyDescent="0.25">
      <c r="AB143" s="846" t="s">
        <v>1876</v>
      </c>
      <c r="AC143" s="494" t="str">
        <f>IF($AF$139="HUIDIG BLAD","wed. 41t","nr.1 grp F")</f>
        <v>nr.1 grp F</v>
      </c>
      <c r="AD143" s="419" t="s">
        <v>69</v>
      </c>
      <c r="AE143" s="419" t="str">
        <f>IF($AF$139="HUIDIG BLAD",IF($AK$24="GOED",$AD$24,$AK$24),IF('Eindstand Groep'!$Z$35="FOUT","FOUT",LEFT('Eindstand Groep'!$Z$35,2)))</f>
        <v>FOUT</v>
      </c>
      <c r="AF143" s="419"/>
      <c r="AG143" s="419" t="s">
        <v>424</v>
      </c>
      <c r="AH143" s="494" t="s">
        <v>2443</v>
      </c>
      <c r="AI143" s="419"/>
      <c r="AJ143" s="419" t="s">
        <v>69</v>
      </c>
      <c r="AK143" s="419" t="str">
        <f>IF($AL$42="GOED",$AF$42,$AL$42)</f>
        <v>LEEG</v>
      </c>
      <c r="AL143" s="748" t="s">
        <v>381</v>
      </c>
      <c r="AM143" s="494" t="str">
        <f t="shared" si="39"/>
        <v>onvoldoende gegevens</v>
      </c>
      <c r="AN143" s="419"/>
      <c r="AO143" s="498" t="s">
        <v>462</v>
      </c>
      <c r="AP143" s="757">
        <f>COUNTIF(AM140:AM147,"NEE")</f>
        <v>2</v>
      </c>
      <c r="AQ143" s="500" t="s">
        <v>319</v>
      </c>
      <c r="AR143" s="742">
        <f>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0</v>
      </c>
      <c r="AS143" s="1190" t="s">
        <v>1908</v>
      </c>
      <c r="AT143" s="1190"/>
      <c r="AU143" s="1190"/>
      <c r="AV143" s="1190"/>
      <c r="AW143" s="1190"/>
      <c r="AX143" s="1190"/>
      <c r="AY143" s="285" t="str">
        <f>Voorblad!Z68</f>
        <v>SC</v>
      </c>
      <c r="AZ143" s="285">
        <f t="shared" si="40"/>
        <v>0</v>
      </c>
      <c r="BA143" s="285">
        <f t="shared" si="41"/>
        <v>0</v>
      </c>
    </row>
    <row r="144" spans="28:53" x14ac:dyDescent="0.25">
      <c r="AB144" s="846" t="s">
        <v>1872</v>
      </c>
      <c r="AC144" s="494" t="str">
        <f>IF($AF$139="HUIDIG BLAD","wed. 26t","nr.1 grp D")</f>
        <v>nr.1 grp D</v>
      </c>
      <c r="AD144" s="419" t="s">
        <v>69</v>
      </c>
      <c r="AE144" s="419" t="str">
        <f>IF($AF$139="HUIDIG BLAD",IF($AK$26="GOED",$AD$26,$AK$26),IF('Eindstand Groep'!$Z$25="FOUT","FOUT",LEFT('Eindstand Groep'!$Z$25,2)))</f>
        <v>FOUT</v>
      </c>
      <c r="AF144" s="419"/>
      <c r="AG144" s="419" t="s">
        <v>424</v>
      </c>
      <c r="AH144" s="494" t="s">
        <v>2444</v>
      </c>
      <c r="AI144" s="419"/>
      <c r="AJ144" s="419" t="s">
        <v>69</v>
      </c>
      <c r="AK144" s="419" t="str">
        <f>IF($AK$36="GOED",$AD$36,$AK$36)</f>
        <v>LEEG</v>
      </c>
      <c r="AL144" s="748" t="s">
        <v>381</v>
      </c>
      <c r="AM144" s="494" t="str">
        <f t="shared" si="39"/>
        <v>onvoldoende gegevens</v>
      </c>
      <c r="AN144" s="748" t="s">
        <v>381</v>
      </c>
      <c r="AO144" s="497" t="str">
        <f>IF(AP141&gt;=AP142,"JA",IF(AP140&gt;0,"onvoldoende gegevens","NEE"))</f>
        <v>onvoldoende gegevens</v>
      </c>
      <c r="AP144" s="749"/>
      <c r="AQ144" s="500" t="s">
        <v>320</v>
      </c>
      <c r="AR144" s="742">
        <f>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0</v>
      </c>
      <c r="AV144" s="1191"/>
      <c r="AW144" s="265"/>
      <c r="AX144" s="72"/>
      <c r="AY144" s="285" t="str">
        <f>Voorblad!Z69</f>
        <v>HU</v>
      </c>
      <c r="AZ144" s="285">
        <f t="shared" si="40"/>
        <v>0</v>
      </c>
      <c r="BA144" s="285">
        <f t="shared" si="41"/>
        <v>0</v>
      </c>
    </row>
    <row r="145" spans="26:53" x14ac:dyDescent="0.25">
      <c r="AB145" s="846" t="s">
        <v>1874</v>
      </c>
      <c r="AC145" s="494" t="str">
        <f>IF($AF$139="HUIDIG BLAD","wed. 28t","nr.1 grp E")</f>
        <v>nr.1 grp E</v>
      </c>
      <c r="AD145" s="419" t="s">
        <v>69</v>
      </c>
      <c r="AE145" s="419" t="str">
        <f>IF($AF$139="HUIDIG BLAD",IF($AK$28="GOED",$AD$28,$AK$28),IF('Eindstand Groep'!$Y$35="FOUT","FOUT",LEFT('Eindstand Groep'!$Y$35,2)))</f>
        <v>FOUT</v>
      </c>
      <c r="AF145" s="419"/>
      <c r="AG145" s="419" t="s">
        <v>424</v>
      </c>
      <c r="AH145" s="494" t="s">
        <v>2445</v>
      </c>
      <c r="AI145" s="419"/>
      <c r="AJ145" s="419" t="s">
        <v>69</v>
      </c>
      <c r="AK145" s="419" t="str">
        <f>IF($AK$40="GOED",$AD$40,$AK$40)</f>
        <v>LEEG</v>
      </c>
      <c r="AL145" s="748" t="s">
        <v>381</v>
      </c>
      <c r="AM145" s="494" t="str">
        <f t="shared" si="39"/>
        <v>onvoldoende gegevens</v>
      </c>
      <c r="AN145" s="419"/>
      <c r="AO145" s="419"/>
      <c r="AP145" s="749"/>
      <c r="AQ145" s="265"/>
      <c r="AR145" s="718"/>
      <c r="AS145" s="265"/>
      <c r="AT145" s="72"/>
      <c r="AU145" s="265"/>
      <c r="AV145" s="718"/>
      <c r="AW145" s="265"/>
      <c r="AX145" s="72"/>
      <c r="AY145" s="285" t="str">
        <f>Voorblad!Z70</f>
        <v>CH</v>
      </c>
      <c r="AZ145" s="285">
        <f t="shared" si="40"/>
        <v>0</v>
      </c>
      <c r="BA145" s="285">
        <f t="shared" si="41"/>
        <v>0</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amp;IF(AP14=7,AD14&amp;"."&amp;AF14&amp;".","")&amp;IF(AP16=7,AD16&amp;"."&amp;AF16&amp;".","")&amp;IF(AP18=7,AD18&amp;"."&amp;AF18&amp;".","")&amp;IF(AP20=7,AD20&amp;"."&amp;AF20&amp;".","")&amp;IF(AP22=7,AD22&amp;"."&amp;AF22&amp;".","")&amp;IF(AP24=7,AD24&amp;"."&amp;AF24&amp;".","")&amp;IF(AP26=7,AD26&amp;"."&amp;AF26&amp;".","")&amp;IF(AP28=7,AD28&amp;"."&amp;AF28&amp;".","")</f>
        <v>.</v>
      </c>
      <c r="AS146" s="744"/>
      <c r="AT146" s="744"/>
      <c r="AU146" s="744"/>
      <c r="AV146" s="744"/>
      <c r="AW146" s="265"/>
      <c r="AX146" s="72"/>
      <c r="AY146" s="285" t="str">
        <f>Voorblad!Z71</f>
        <v>ES</v>
      </c>
      <c r="AZ146" s="285">
        <f t="shared" si="40"/>
        <v>0</v>
      </c>
      <c r="BA146" s="285">
        <f t="shared" si="41"/>
        <v>0</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"."&amp;IF(AP36=7,AD36&amp;"."&amp;AF36&amp;".","")&amp;IF(AP38=7,AD38&amp;"."&amp;AF38&amp;".","")&amp;IF(AP40=7,AD40&amp;"."&amp;AF40&amp;".","")&amp;IF(AP42=7,AD42&amp;"."&amp;AF42&amp;".","")</f>
        <v>.</v>
      </c>
      <c r="AS147" s="744"/>
      <c r="AT147" s="744"/>
      <c r="AU147" s="744"/>
      <c r="AV147" s="744"/>
      <c r="AW147" s="265"/>
      <c r="AX147" s="72"/>
      <c r="AY147" s="285" t="str">
        <f>Voorblad!Z72</f>
        <v>HR</v>
      </c>
      <c r="AZ147" s="285">
        <f t="shared" si="40"/>
        <v>0</v>
      </c>
      <c r="BA147" s="285">
        <f t="shared" si="41"/>
        <v>0</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"."&amp;IF(AP46=7,AD46&amp;"."&amp;AF46&amp;".","")&amp;IF(AP48=7,AD48&amp;"."&amp;AF48&amp;".","")</f>
        <v>.</v>
      </c>
      <c r="AS148" s="744"/>
      <c r="AT148" s="744"/>
      <c r="AU148" s="744"/>
      <c r="AV148" s="744"/>
      <c r="AW148" s="265"/>
      <c r="AX148" s="72"/>
      <c r="AY148" s="285" t="str">
        <f>Voorblad!Z73</f>
        <v>IT</v>
      </c>
      <c r="AZ148" s="285">
        <f t="shared" si="40"/>
        <v>0</v>
      </c>
      <c r="BA148" s="285">
        <f t="shared" si="41"/>
        <v>0</v>
      </c>
    </row>
    <row r="149" spans="26:53" x14ac:dyDescent="0.25">
      <c r="AB149" s="419"/>
      <c r="AC149" s="494" t="s">
        <v>438</v>
      </c>
      <c r="AD149" s="419"/>
      <c r="AE149" s="419"/>
      <c r="AF149" s="419"/>
      <c r="AG149" s="758" t="s">
        <v>69</v>
      </c>
      <c r="AH149" s="494">
        <f>AR143</f>
        <v>0</v>
      </c>
      <c r="AI149" s="494"/>
      <c r="AJ149" s="494"/>
      <c r="AK149" s="494"/>
      <c r="AL149" s="748" t="s">
        <v>381</v>
      </c>
      <c r="AM149" s="494" t="str">
        <f>IF($AP$71="GOED",AH149,"onvoldoende gegevens")</f>
        <v>onvoldoende gegevens</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si="40"/>
        <v>0</v>
      </c>
      <c r="BA149" s="285">
        <f t="shared" si="41"/>
        <v>0</v>
      </c>
    </row>
    <row r="150" spans="26:53" x14ac:dyDescent="0.25">
      <c r="AB150" s="495"/>
      <c r="AC150" s="496" t="s">
        <v>439</v>
      </c>
      <c r="AD150" s="495"/>
      <c r="AE150" s="495"/>
      <c r="AF150" s="495"/>
      <c r="AG150" s="501" t="s">
        <v>69</v>
      </c>
      <c r="AH150" s="496">
        <f>AR144</f>
        <v>0</v>
      </c>
      <c r="AI150" s="495"/>
      <c r="AJ150" s="495"/>
      <c r="AK150" s="495"/>
      <c r="AL150" s="754" t="s">
        <v>381</v>
      </c>
      <c r="AM150" s="496" t="str">
        <f>IF($AP$71="GOED",AH150,"onvoldoende gegevens")</f>
        <v>onvoldoende gegevens</v>
      </c>
      <c r="AN150" s="752" t="s">
        <v>381</v>
      </c>
      <c r="AO150" s="497" t="str">
        <f>IF(AH150&gt;=AP149,"JA",IF(OR(AM149="onvoldoende gegevens",AM150="onvoldoende gegevens"),"onvoldoende gegevens",IF(AP148="XX","geen suggestie mogelijk","NEE")))</f>
        <v>onvoldoende gegevens</v>
      </c>
      <c r="AP150" s="502"/>
      <c r="AQ150" s="286" t="s">
        <v>168</v>
      </c>
      <c r="AR150" s="746" t="str">
        <f>"."&amp;IF(AP56=7,AD56&amp;"."&amp;AF56&amp;".","")</f>
        <v>.</v>
      </c>
      <c r="AS150" s="265"/>
      <c r="AT150" s="718"/>
      <c r="AU150" s="265"/>
      <c r="AV150" s="72"/>
      <c r="AW150" s="265"/>
      <c r="AX150" s="72"/>
      <c r="AY150" s="285" t="str">
        <f>Voorblad!Z75</f>
        <v>SI</v>
      </c>
      <c r="AZ150" s="285">
        <f t="shared" si="40"/>
        <v>0</v>
      </c>
      <c r="BA150" s="285">
        <f t="shared"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COUNTIF(AM153:AM154,"onvoldoende gegevens")</f>
        <v>2</v>
      </c>
      <c r="AQ151" s="500" t="s">
        <v>390</v>
      </c>
      <c r="AR151" s="746" t="str">
        <f>"."&amp;IF(AP52=7,IF(W52&gt;Y52,AD52,IF(Y52&gt;W52,AF52,AD52&amp;"."&amp;AF52))&amp;".","")</f>
        <v>.</v>
      </c>
      <c r="AS151" s="265"/>
      <c r="AT151" s="718"/>
      <c r="AU151" s="265"/>
      <c r="AV151" s="72"/>
      <c r="AW151" s="265"/>
      <c r="AX151" s="72"/>
      <c r="AY151" s="285" t="str">
        <f>Voorblad!Z76</f>
        <v>DK</v>
      </c>
      <c r="AZ151" s="285">
        <f t="shared" si="40"/>
        <v>0</v>
      </c>
      <c r="BA151" s="285">
        <f t="shared" si="41"/>
        <v>0</v>
      </c>
    </row>
    <row r="152" spans="26:53" x14ac:dyDescent="0.25">
      <c r="AB152" s="419"/>
      <c r="AC152" s="494" t="s">
        <v>1895</v>
      </c>
      <c r="AD152" s="419"/>
      <c r="AE152" s="419" t="s">
        <v>69</v>
      </c>
      <c r="AF152" s="494" t="str">
        <f>SUBSTITUTE("|"&amp;AE140&amp;"|"&amp;AE141&amp;"|"&amp;AE142&amp;"|"&amp;AE143&amp;"|"&amp;AE144&amp;"|"&amp;AE145&amp;"|"&amp;AE146&amp;"|"&amp;AE147&amp;"|","LEEG","XX")</f>
        <v>|FOUT|FOUT|FOUT|FOUT|FOUT|FOUT|YY|ZZ|</v>
      </c>
      <c r="AG152" s="419"/>
      <c r="AH152" s="419"/>
      <c r="AI152" s="419"/>
      <c r="AJ152" s="419"/>
      <c r="AK152" s="419"/>
      <c r="AL152" s="419"/>
      <c r="AM152" s="419"/>
      <c r="AN152" s="419"/>
      <c r="AO152" s="498" t="s">
        <v>461</v>
      </c>
      <c r="AP152" s="757">
        <f>COUNTIF(AM153:AM154,"JA")</f>
        <v>0</v>
      </c>
      <c r="AQ152" s="500" t="s">
        <v>389</v>
      </c>
      <c r="AR152" s="746" t="str">
        <f>"."&amp;IF(AP59=3,AF59&amp;".","")</f>
        <v>.</v>
      </c>
      <c r="AS152" s="265"/>
      <c r="AT152" s="718"/>
      <c r="AU152" s="265"/>
      <c r="AV152" s="72"/>
      <c r="AW152" s="265"/>
      <c r="AX152" s="72"/>
      <c r="AY152" s="285" t="str">
        <f>Voorblad!Z77</f>
        <v>RS</v>
      </c>
      <c r="AZ152" s="285">
        <f t="shared" si="40"/>
        <v>0</v>
      </c>
      <c r="BA152" s="285">
        <f t="shared" si="41"/>
        <v>0</v>
      </c>
    </row>
    <row r="153" spans="26:53" x14ac:dyDescent="0.25">
      <c r="AB153" s="419"/>
      <c r="AC153" s="494" t="s">
        <v>2446</v>
      </c>
      <c r="AD153" s="419"/>
      <c r="AE153" s="419" t="s">
        <v>69</v>
      </c>
      <c r="AF153" s="419" t="str">
        <f>IF($AK$56="GOED",$AD$56,$AK$56)</f>
        <v>LEEG</v>
      </c>
      <c r="AG153" s="419"/>
      <c r="AH153" s="419"/>
      <c r="AI153" s="419"/>
      <c r="AJ153" s="419"/>
      <c r="AK153" s="419"/>
      <c r="AL153" s="748" t="s">
        <v>381</v>
      </c>
      <c r="AM153" s="494" t="str">
        <f>IF(OR(AF153="LEEG",AF153="FOUT",AF153="ONGELDIG"),"onvoldoende gegevens",IF(SUBSTITUTE($AF$152,AF153,"##")=$AF$152,"NEE","JA"))</f>
        <v>onvoldoende gegevens</v>
      </c>
      <c r="AN153" s="419"/>
      <c r="AO153" s="498" t="s">
        <v>1055</v>
      </c>
      <c r="AP153" s="757">
        <v>2</v>
      </c>
      <c r="AQ153" s="265"/>
      <c r="AR153" s="718"/>
      <c r="AS153" s="265"/>
      <c r="AT153" s="72"/>
      <c r="AU153" s="265"/>
      <c r="AV153" s="718"/>
      <c r="AW153" s="265"/>
      <c r="AX153" s="72"/>
      <c r="AY153" s="285" t="str">
        <f>Voorblad!Z78</f>
        <v>GB</v>
      </c>
      <c r="AZ153" s="285">
        <f t="shared" si="40"/>
        <v>0</v>
      </c>
      <c r="BA153" s="285">
        <f t="shared" si="41"/>
        <v>0</v>
      </c>
    </row>
    <row r="154" spans="26:53" x14ac:dyDescent="0.25">
      <c r="AB154" s="419"/>
      <c r="AC154" s="494" t="s">
        <v>2447</v>
      </c>
      <c r="AD154" s="419"/>
      <c r="AE154" s="419" t="s">
        <v>69</v>
      </c>
      <c r="AF154" s="419" t="str">
        <f>IF($AL$56="GOED",$AF$56,$AL$56)</f>
        <v>LEEG</v>
      </c>
      <c r="AG154" s="419"/>
      <c r="AH154" s="419"/>
      <c r="AI154" s="419"/>
      <c r="AJ154" s="419"/>
      <c r="AK154" s="419"/>
      <c r="AL154" s="748" t="s">
        <v>381</v>
      </c>
      <c r="AM154" s="494" t="str">
        <f>IF(OR(AF154="LEEG",AF154="FOUT",AF154="ONGELDIG"),"onvoldoende gegevens",IF(SUBSTITUTE($AF$152,AF154,"##")=$AF$152,"NEE","JA"))</f>
        <v>onvoldoende gegevens</v>
      </c>
      <c r="AN154" s="419"/>
      <c r="AO154" s="498" t="s">
        <v>462</v>
      </c>
      <c r="AP154" s="757">
        <f>COUNTIF(AM153:AM154,"NEE")</f>
        <v>0</v>
      </c>
      <c r="AQ154" s="747" t="s">
        <v>1044</v>
      </c>
      <c r="AR154" s="718"/>
      <c r="AS154" s="265"/>
      <c r="AT154" s="72"/>
      <c r="AU154" s="265"/>
      <c r="AV154" s="718"/>
      <c r="AW154" s="265"/>
      <c r="AX154" s="72"/>
      <c r="AY154" s="285" t="str">
        <f>Voorblad!Z79</f>
        <v>PL</v>
      </c>
      <c r="AZ154" s="285">
        <f t="shared" si="40"/>
        <v>0</v>
      </c>
      <c r="BA154" s="285">
        <f t="shared" si="41"/>
        <v>0</v>
      </c>
    </row>
    <row r="155" spans="26:53" x14ac:dyDescent="0.25">
      <c r="Z155" s="217"/>
      <c r="AB155" s="495"/>
      <c r="AC155" s="495"/>
      <c r="AD155" s="495"/>
      <c r="AE155" s="495"/>
      <c r="AF155" s="495"/>
      <c r="AG155" s="495"/>
      <c r="AH155" s="495"/>
      <c r="AI155" s="495"/>
      <c r="AJ155" s="495"/>
      <c r="AK155" s="495"/>
      <c r="AL155" s="495"/>
      <c r="AM155" s="495"/>
      <c r="AN155" s="752" t="s">
        <v>381</v>
      </c>
      <c r="AO155" s="497" t="str">
        <f>IF(AP152&gt;=AP153,"JA",IF(AP151&gt;0,"onvoldoende gegevens","NEE"))</f>
        <v>onvoldoende gegevens</v>
      </c>
      <c r="AP155" s="502"/>
      <c r="AQ155" s="500">
        <v>1</v>
      </c>
      <c r="AR155" s="746" t="str">
        <f>AO124</f>
        <v>onvoldoende gegevens</v>
      </c>
      <c r="AS155" s="265"/>
      <c r="AT155" s="72"/>
      <c r="AU155" s="265"/>
      <c r="AV155" s="718"/>
      <c r="AW155" s="265"/>
      <c r="AX155" s="72"/>
      <c r="AY155" s="285" t="str">
        <f>Voorblad!Z80</f>
        <v>NL</v>
      </c>
      <c r="AZ155" s="285">
        <f t="shared" si="40"/>
        <v>0</v>
      </c>
      <c r="BA155" s="285">
        <f t="shared" si="41"/>
        <v>0</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COUNTIF(AM158:AM158,"onvoldoende gegevens")</f>
        <v>1</v>
      </c>
      <c r="AQ156" s="500">
        <f>AQ155+1</f>
        <v>2</v>
      </c>
      <c r="AR156" s="746" t="str">
        <f>AO133</f>
        <v>onvoldoende gegevens</v>
      </c>
      <c r="AS156" s="265"/>
      <c r="AT156" s="72"/>
      <c r="AU156" s="265"/>
      <c r="AV156" s="718"/>
      <c r="AW156" s="746"/>
      <c r="AX156" s="72"/>
      <c r="AY156" s="285" t="str">
        <f>Voorblad!Z81</f>
        <v>AT</v>
      </c>
      <c r="AZ156" s="285">
        <f t="shared" si="40"/>
        <v>0</v>
      </c>
      <c r="BA156" s="285">
        <f t="shared"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COUNTIF(AM158:AM158,"JA")</f>
        <v>0</v>
      </c>
      <c r="AQ157" s="500">
        <f t="shared" ref="AQ157:AQ169" si="42">AQ156+1</f>
        <v>3</v>
      </c>
      <c r="AR157" s="746" t="str">
        <f>AO144</f>
        <v>onvoldoende gegevens</v>
      </c>
      <c r="AS157" s="265"/>
      <c r="AT157" s="72"/>
      <c r="AU157" s="265"/>
      <c r="AV157" s="718"/>
      <c r="AW157" s="746"/>
      <c r="AX157" s="72"/>
      <c r="AY157" s="285" t="str">
        <f>Voorblad!Z82</f>
        <v>FR</v>
      </c>
      <c r="AZ157" s="285">
        <f t="shared" si="40"/>
        <v>0</v>
      </c>
      <c r="BA157" s="285">
        <f t="shared" si="41"/>
        <v>0</v>
      </c>
    </row>
    <row r="158" spans="26:53" x14ac:dyDescent="0.25">
      <c r="AB158" s="419"/>
      <c r="AC158" s="494" t="s">
        <v>1059</v>
      </c>
      <c r="AD158" s="419"/>
      <c r="AE158" s="419" t="s">
        <v>69</v>
      </c>
      <c r="AF158" s="419" t="str">
        <f>IF($AL$59="GOED",$AF$59,$AL$59)</f>
        <v>LEEG</v>
      </c>
      <c r="AG158" s="419"/>
      <c r="AH158" s="419"/>
      <c r="AI158" s="419"/>
      <c r="AJ158" s="419"/>
      <c r="AK158" s="419"/>
      <c r="AL158" s="748" t="s">
        <v>381</v>
      </c>
      <c r="AM158" s="494" t="str">
        <f>IF(OR(AF158="LEEG",AF158="FOUT",AF158="ONGELDIG"),"onvoldoende gegevens",IF(SUBSTITUTE($AF$157,AF158,"##")=$AF$157,"NEE","JA"))</f>
        <v>onvoldoende gegevens</v>
      </c>
      <c r="AN158" s="419"/>
      <c r="AO158" s="498" t="s">
        <v>1055</v>
      </c>
      <c r="AP158" s="757">
        <v>1</v>
      </c>
      <c r="AQ158" s="500">
        <f t="shared" si="42"/>
        <v>4</v>
      </c>
      <c r="AR158" s="746" t="str">
        <f>AO150</f>
        <v>onvoldoende gegevens</v>
      </c>
      <c r="AS158" s="265"/>
      <c r="AT158" s="72"/>
      <c r="AU158" s="265"/>
      <c r="AV158" s="718"/>
      <c r="AW158" s="746"/>
      <c r="AX158" s="72"/>
      <c r="AY158" s="285" t="str">
        <f>Voorblad!Z83</f>
        <v>BE</v>
      </c>
      <c r="AZ158" s="285">
        <f t="shared" si="40"/>
        <v>0</v>
      </c>
      <c r="BA158" s="285">
        <f t="shared" si="41"/>
        <v>0</v>
      </c>
    </row>
    <row r="159" spans="26:53" x14ac:dyDescent="0.25">
      <c r="AB159" s="419"/>
      <c r="AC159" s="494"/>
      <c r="AD159" s="419"/>
      <c r="AE159" s="419"/>
      <c r="AF159" s="419"/>
      <c r="AG159" s="419"/>
      <c r="AH159" s="419"/>
      <c r="AI159" s="419"/>
      <c r="AJ159" s="419"/>
      <c r="AK159" s="419"/>
      <c r="AL159" s="748"/>
      <c r="AM159" s="494"/>
      <c r="AN159" s="419"/>
      <c r="AO159" s="498" t="s">
        <v>462</v>
      </c>
      <c r="AP159" s="757">
        <f>COUNTIF(AM158:AM158,"NEE")</f>
        <v>0</v>
      </c>
      <c r="AQ159" s="500">
        <f t="shared" si="42"/>
        <v>5</v>
      </c>
      <c r="AR159" s="746" t="str">
        <f>AO155</f>
        <v>onvoldoende gegevens</v>
      </c>
      <c r="AS159" s="265"/>
      <c r="AT159" s="72"/>
      <c r="AU159" s="265"/>
      <c r="AV159" s="718"/>
      <c r="AW159" s="746"/>
      <c r="AX159" s="72"/>
      <c r="AY159" s="285" t="str">
        <f>Voorblad!Z84</f>
        <v>SK</v>
      </c>
      <c r="AZ159" s="285">
        <f t="shared" si="40"/>
        <v>0</v>
      </c>
      <c r="BA159" s="285">
        <f t="shared" si="41"/>
        <v>0</v>
      </c>
    </row>
    <row r="160" spans="26:53" x14ac:dyDescent="0.25">
      <c r="AB160" s="495"/>
      <c r="AC160" s="495"/>
      <c r="AD160" s="495"/>
      <c r="AE160" s="495"/>
      <c r="AF160" s="495"/>
      <c r="AG160" s="495"/>
      <c r="AH160" s="495"/>
      <c r="AI160" s="495"/>
      <c r="AJ160" s="495"/>
      <c r="AK160" s="495"/>
      <c r="AL160" s="495"/>
      <c r="AM160" s="495"/>
      <c r="AN160" s="752" t="s">
        <v>381</v>
      </c>
      <c r="AO160" s="497" t="str">
        <f>IF(AP157&gt;=AP158,"JA",IF(AP156&gt;0,"onvoldoende gegevens","NEE"))</f>
        <v>onvoldoende gegevens</v>
      </c>
      <c r="AP160" s="502"/>
      <c r="AQ160" s="500">
        <f t="shared" si="42"/>
        <v>6</v>
      </c>
      <c r="AR160" s="746" t="str">
        <f>AO183</f>
        <v>onvoldoende gegevens</v>
      </c>
      <c r="AS160" s="265"/>
      <c r="AT160" s="72"/>
      <c r="AU160" s="265"/>
      <c r="AV160" s="718"/>
      <c r="AW160" s="746"/>
      <c r="AX160" s="72"/>
      <c r="AY160" s="285" t="str">
        <f>Voorblad!Z85</f>
        <v>RO</v>
      </c>
      <c r="AZ160" s="285">
        <f t="shared" si="40"/>
        <v>0</v>
      </c>
      <c r="BA160" s="285">
        <f t="shared"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AO160</f>
        <v>onvoldoende gegevens</v>
      </c>
      <c r="AS161" s="72"/>
      <c r="AT161" s="72"/>
      <c r="AU161" s="72"/>
      <c r="AV161" s="72"/>
      <c r="AW161" s="72"/>
      <c r="AX161" s="72"/>
      <c r="AY161" s="285" t="str">
        <f>Voorblad!Z86</f>
        <v>UA</v>
      </c>
      <c r="AZ161" s="285">
        <f t="shared" si="40"/>
        <v>0</v>
      </c>
      <c r="BA161" s="285">
        <f t="shared" si="41"/>
        <v>0</v>
      </c>
    </row>
    <row r="162" spans="28:53" x14ac:dyDescent="0.25">
      <c r="AB162" s="769"/>
      <c r="AC162" s="764" t="s">
        <v>1059</v>
      </c>
      <c r="AD162" s="763"/>
      <c r="AE162" s="763" t="s">
        <v>69</v>
      </c>
      <c r="AF162" s="763" t="str">
        <f>IF($AL$59="GOED",$AF$59,$AL$59)</f>
        <v>LEEG</v>
      </c>
      <c r="AG162" s="763"/>
      <c r="AH162" s="763"/>
      <c r="AI162" s="763" t="s">
        <v>69</v>
      </c>
      <c r="AJ162" s="764" t="str">
        <f>IF(AO59="FOUT","onvoldoende gegevens","GOED")</f>
        <v>onvoldoende gegevens</v>
      </c>
      <c r="AK162" s="763"/>
      <c r="AL162" s="763"/>
      <c r="AM162" s="763"/>
      <c r="AN162" s="763"/>
      <c r="AO162" s="761" t="s">
        <v>1057</v>
      </c>
      <c r="AP162" s="762" t="str">
        <f>IF(AND(Reglement!$Q$81=1,Reglement!$H$90=2),"JA","NEE")</f>
        <v>NEE</v>
      </c>
      <c r="AQ162" s="500">
        <f t="shared" si="42"/>
        <v>8</v>
      </c>
      <c r="AR162" s="746" t="str">
        <f>AO167</f>
        <v>onvoldoende gegevens</v>
      </c>
      <c r="AS162" s="72"/>
      <c r="AT162" s="72"/>
      <c r="AU162" s="72"/>
      <c r="AV162" s="72"/>
      <c r="AW162" s="72"/>
      <c r="AX162" s="72"/>
      <c r="AY162" s="285" t="str">
        <f>Voorblad!Z87</f>
        <v>TR</v>
      </c>
      <c r="AZ162" s="285">
        <f t="shared" si="40"/>
        <v>0</v>
      </c>
      <c r="BA162" s="285">
        <f t="shared" si="41"/>
        <v>0</v>
      </c>
    </row>
    <row r="163" spans="28:53" x14ac:dyDescent="0.25">
      <c r="AB163" s="763" t="s">
        <v>1072</v>
      </c>
      <c r="AC163" s="764" t="s">
        <v>1071</v>
      </c>
      <c r="AD163" s="763"/>
      <c r="AE163" s="763" t="s">
        <v>69</v>
      </c>
      <c r="AF163" s="763">
        <f>IF(AND($AL$59="GOED",OR($AF$162=AD14,$AF$162=AF14,$AF$162=AD16,$AF$162=AF16,$AF$162=AD18,$AF$162=AF18,$AF$162=AD20,$AF$162=AF20,$AF$162=AD22,$AF$162=AF22,$AF$162=AD24,$AF$162=AF24,$AF$162=AD26,$AF$162=AF26,$AF$162=AD28,$AF$162=AF28)),1,0)</f>
        <v>0</v>
      </c>
      <c r="AG163" s="763" t="s">
        <v>424</v>
      </c>
      <c r="AH163" s="772"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I163" s="763" t="s">
        <v>69</v>
      </c>
      <c r="AJ163" s="764" t="str">
        <f>IF(COUNTIF(AO14:AO28,"FOUT"&gt;0),"onvoldoende gegevens",IF(AF163=0,"geen suggestie mogelijk","GOED"))</f>
        <v>geen suggestie mogelijk</v>
      </c>
      <c r="AK163" s="763"/>
      <c r="AL163" s="763"/>
      <c r="AM163" s="763"/>
      <c r="AN163" s="763"/>
      <c r="AO163" s="761" t="s">
        <v>460</v>
      </c>
      <c r="AP163" s="762">
        <f>COUNTIF(AH162:AH166,"onvoldoende gegevens")</f>
        <v>0</v>
      </c>
      <c r="AQ163" s="500">
        <f t="shared" si="42"/>
        <v>9</v>
      </c>
      <c r="AR163" s="746" t="str">
        <f>AO171</f>
        <v>zie werkblad bonusvragen</v>
      </c>
      <c r="AS163" s="72"/>
      <c r="AT163" s="72"/>
      <c r="AU163" s="72"/>
      <c r="AV163" s="72"/>
      <c r="AW163" s="72"/>
      <c r="AX163" s="72"/>
      <c r="AY163" s="285" t="str">
        <f>Voorblad!Z88</f>
        <v>GE</v>
      </c>
      <c r="AZ163" s="285">
        <f t="shared" si="40"/>
        <v>0</v>
      </c>
      <c r="BA163" s="285">
        <f t="shared" si="41"/>
        <v>0</v>
      </c>
    </row>
    <row r="164" spans="28:53" x14ac:dyDescent="0.25">
      <c r="AB164" s="763" t="s">
        <v>1073</v>
      </c>
      <c r="AC164" s="764" t="s">
        <v>1071</v>
      </c>
      <c r="AD164" s="763"/>
      <c r="AE164" s="763" t="s">
        <v>69</v>
      </c>
      <c r="AF164" s="763">
        <f>IF(AND($AL$59="GOED",OR($AF$162=AD36,$AF$162=AF36,$AF$162=AD38,$AF$162=AF38,$AF$162=AD40,$AF$162=AF40,$AF$162=AD42,$AF$162=AF42)),1,0)</f>
        <v>0</v>
      </c>
      <c r="AG164" s="763" t="s">
        <v>424</v>
      </c>
      <c r="AH164" s="772" t="str">
        <f>IF($AL$59="GOED",IF(AO36="FOUT",0,IF($AF$59=AD36,IF(W36&gt;Y36,1,0),0)+IF($AF$59=AF36,IF(W36&lt;Y36,1,0),0))+IF(AO38="FOUT",0,IF($AF$59=AD38,IF(W38&gt;Y38,1,0),0)+IF($AF$59=AF38,IF(W38&lt;Y38,1,0),0))+IF(AO40="FOUT",0,IF($AF$59=AD40,IF(W40&gt;Y40,1,0),0)+IF($AF$59=AF40,IF(W40&lt;Y40,1,0),0))+IF(AO42="FOUT",0,IF($AF$59=AD42,IF(W42&gt;Y42,1,0),0)+IF($AF$59=AF42,IF(W42&lt;Y42,1,0),0)),"")</f>
        <v/>
      </c>
      <c r="AI164" s="763" t="s">
        <v>69</v>
      </c>
      <c r="AJ164" s="764" t="str">
        <f>IF(COUNTIF(AO36:AO42,"FOUT")&gt;0,"onvoldoende gegevens",IF(AF164=0,"geen suggestie mogelijk","GOED"))</f>
        <v>onvoldoende gegevens</v>
      </c>
      <c r="AK164" s="763"/>
      <c r="AL164" s="763"/>
      <c r="AM164" s="763"/>
      <c r="AN164" s="763"/>
      <c r="AO164" s="761" t="s">
        <v>1060</v>
      </c>
      <c r="AP164" s="762">
        <f>COUNTIF(AH163:AH166,1)</f>
        <v>0</v>
      </c>
      <c r="AQ164" s="500">
        <f t="shared" si="42"/>
        <v>10</v>
      </c>
      <c r="AR164" s="746" t="str">
        <f>AO178</f>
        <v>geen suggestie mogelijk</v>
      </c>
      <c r="AS164" s="72"/>
      <c r="AT164" s="72"/>
      <c r="AU164" s="72"/>
      <c r="AV164" s="72"/>
      <c r="AW164" s="72"/>
      <c r="AX164" s="72"/>
      <c r="AY164" s="285" t="str">
        <f>Voorblad!Z89</f>
        <v>PT</v>
      </c>
      <c r="AZ164" s="285">
        <f t="shared" si="40"/>
        <v>0</v>
      </c>
      <c r="BA164" s="285">
        <f t="shared" si="41"/>
        <v>0</v>
      </c>
    </row>
    <row r="165" spans="28:53" x14ac:dyDescent="0.25">
      <c r="AB165" s="763" t="s">
        <v>1074</v>
      </c>
      <c r="AC165" s="764" t="s">
        <v>1071</v>
      </c>
      <c r="AD165" s="763"/>
      <c r="AE165" s="763" t="s">
        <v>69</v>
      </c>
      <c r="AF165" s="763">
        <f>IF(AND($AL$59="GOED",OR($AF$162=AD46,$AF$162=AF46,$AF$162=AD48,$AF$162=AF48)),1,0)</f>
        <v>0</v>
      </c>
      <c r="AG165" s="763" t="s">
        <v>424</v>
      </c>
      <c r="AH165" s="772" t="str">
        <f>IF($AL$59="GOED",IF(AO46="FOUT",0,IF($AF$59=AD46,IF(W46&gt;Y46,1,0),0)+IF($AF$59=AF46,IF(W46&lt;Y46,1,0),0))+IF(AO48="FOUT",0,IF($AF$59=AD48,IF(W48&gt;Y48,1,0),0)+IF($AF$59=AF48,IF(W48&lt;Y48,1,0),0)),"")</f>
        <v/>
      </c>
      <c r="AI165" s="763" t="s">
        <v>69</v>
      </c>
      <c r="AJ165" s="764" t="str">
        <f>IF(COUNTIF(AO46:AO48,"FOUT")&gt;0,"onvoldoende gegevens",IF(AF165=0,"geen suggestie mogelijk","GOED"))</f>
        <v>onvoldoende gegevens</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si="40"/>
        <v>0</v>
      </c>
      <c r="BA165" s="285">
        <f t="shared" si="41"/>
        <v>0</v>
      </c>
    </row>
    <row r="166" spans="28:53" x14ac:dyDescent="0.25">
      <c r="AB166" s="763" t="s">
        <v>437</v>
      </c>
      <c r="AC166" s="764" t="s">
        <v>1071</v>
      </c>
      <c r="AD166" s="763"/>
      <c r="AE166" s="763" t="s">
        <v>69</v>
      </c>
      <c r="AF166" s="763">
        <f>IF(AND($AL$59="GOED",OR($AF$162=AD56,$AF$162=AF56)),1,0)</f>
        <v>0</v>
      </c>
      <c r="AG166" s="763" t="s">
        <v>424</v>
      </c>
      <c r="AH166" s="772" t="str">
        <f>IF($AL$59="GOED",IF(AO56="FOUT",0,IF($AF$59=AD56,IF(W56&gt;Y56,1,0),0)+IF($AF$59=AF56,IF(W56&lt;Y56,1,0),0)),"")</f>
        <v/>
      </c>
      <c r="AI166" s="763" t="s">
        <v>69</v>
      </c>
      <c r="AJ166" s="764" t="str">
        <f>IF(AO56="FOUT","onvoldoende gegevens",IF(AF166=0,"geen suggestie mogelijk","GOED"))</f>
        <v>onvoldoende gegevens</v>
      </c>
      <c r="AK166" s="763"/>
      <c r="AL166" s="763"/>
      <c r="AM166" s="763"/>
      <c r="AN166" s="763"/>
      <c r="AO166" s="761" t="s">
        <v>1061</v>
      </c>
      <c r="AP166" s="762">
        <f>COUNTIF(AH163:AH166,0)</f>
        <v>0</v>
      </c>
      <c r="AQ166" s="500">
        <f t="shared" si="42"/>
        <v>12</v>
      </c>
      <c r="AR166" s="746" t="str">
        <f>AO171</f>
        <v>zie werkblad bonusvragen</v>
      </c>
      <c r="AS166" s="72"/>
      <c r="AT166" s="72"/>
      <c r="AU166" s="72"/>
      <c r="AV166" s="72"/>
      <c r="AW166" s="72"/>
      <c r="AX166" s="72"/>
      <c r="AY166" s="285" t="str">
        <f>Voorblad!Z91</f>
        <v>ZA</v>
      </c>
      <c r="AZ166" s="285">
        <f t="shared" si="40"/>
        <v>0</v>
      </c>
      <c r="BA166" s="285">
        <f t="shared" si="41"/>
        <v>0</v>
      </c>
    </row>
    <row r="167" spans="28:53" x14ac:dyDescent="0.25">
      <c r="AB167" s="770"/>
      <c r="AC167" s="764"/>
      <c r="AD167" s="765"/>
      <c r="AE167" s="765"/>
      <c r="AF167" s="765"/>
      <c r="AG167" s="765"/>
      <c r="AH167" s="765"/>
      <c r="AI167" s="765"/>
      <c r="AJ167" s="765"/>
      <c r="AK167" s="765"/>
      <c r="AL167" s="765"/>
      <c r="AM167" s="771" t="s">
        <v>1076</v>
      </c>
      <c r="AN167" s="766" t="s">
        <v>381</v>
      </c>
      <c r="AO167" s="497" t="str">
        <f>IF(COUNTIF(AJ162:AJ166,"onvoldoende gegevens")&gt;0,"onvoldoende gegevens",IF(COUNTIF(AJ162:AJ166,"geen suggestie mogelijk")&gt;0,"geen suggestie mogelijk",IF(AP162="XX",IF(AP166&gt;0,"NEE","geen suggestie mogelijk"),IF(AP164&gt;=AP165,"JA","NEE"))))</f>
        <v>onvoldoende gegevens</v>
      </c>
      <c r="AP167" s="767"/>
      <c r="AQ167" s="500">
        <f t="shared" si="42"/>
        <v>13</v>
      </c>
      <c r="AR167" s="746" t="str">
        <f>AO178</f>
        <v>geen suggestie mogelijk</v>
      </c>
      <c r="AS167" s="72"/>
      <c r="AT167" s="72"/>
      <c r="AU167" s="72"/>
      <c r="AV167" s="72"/>
      <c r="AW167" s="72"/>
      <c r="AX167" s="72"/>
      <c r="AY167" s="285" t="str">
        <f>Voorblad!Z92</f>
        <v>ZB</v>
      </c>
      <c r="AZ167" s="285">
        <f t="shared" si="40"/>
        <v>0</v>
      </c>
      <c r="BA167" s="285">
        <f t="shared"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si="40"/>
        <v>0</v>
      </c>
      <c r="BA168" s="285">
        <f t="shared"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si="40"/>
        <v>0</v>
      </c>
      <c r="BA169" s="285">
        <f t="shared"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si="40"/>
        <v>0</v>
      </c>
      <c r="BA170" s="285">
        <f t="shared"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si="40"/>
        <v>0</v>
      </c>
      <c r="BA171" s="285">
        <f t="shared"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si="40"/>
        <v>0</v>
      </c>
      <c r="BA172" s="285">
        <f t="shared"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si="40"/>
        <v>0</v>
      </c>
      <c r="BA173" s="285">
        <f t="shared"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COUNTIF(AM181:AM182,"onvoldoende gegevens")</f>
        <v>2</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COUNTIF(AM181:AM182,"JA")</f>
        <v>0</v>
      </c>
      <c r="AR180" s="47"/>
      <c r="AT180" s="47"/>
      <c r="AV180" s="47"/>
      <c r="AX180" s="47"/>
      <c r="AZ180" s="47"/>
    </row>
    <row r="181" spans="28:53" x14ac:dyDescent="0.25">
      <c r="AB181" s="419"/>
      <c r="AC181" s="494" t="s">
        <v>2446</v>
      </c>
      <c r="AD181" s="419"/>
      <c r="AE181" s="419" t="s">
        <v>69</v>
      </c>
      <c r="AF181" s="419" t="str">
        <f>IF($AK$56="GOED",$AD$56,$AK$56)</f>
        <v>LEEG</v>
      </c>
      <c r="AG181" s="419"/>
      <c r="AH181" s="419"/>
      <c r="AI181" s="419"/>
      <c r="AJ181" s="419"/>
      <c r="AK181" s="419"/>
      <c r="AL181" s="748" t="s">
        <v>381</v>
      </c>
      <c r="AM181" s="494" t="str">
        <f>IF(OR(AF181="LEEG",AF181="FOUT",AF181="ONGELDIG"),"onvoldoende gegevens",IF(SUBSTITUTE($AF$152,AF181,"##")=$AF$152,"NEE","JA"))</f>
        <v>onvoldoende gegevens</v>
      </c>
      <c r="AN181" s="419"/>
      <c r="AO181" s="498" t="s">
        <v>1055</v>
      </c>
      <c r="AP181" s="757">
        <v>1</v>
      </c>
      <c r="AR181" s="47"/>
      <c r="AT181" s="47"/>
      <c r="AV181" s="47"/>
      <c r="AX181" s="47"/>
      <c r="AZ181" s="47"/>
    </row>
    <row r="182" spans="28:53" x14ac:dyDescent="0.25">
      <c r="AB182" s="419"/>
      <c r="AC182" s="494" t="s">
        <v>2447</v>
      </c>
      <c r="AD182" s="419"/>
      <c r="AE182" s="419" t="s">
        <v>69</v>
      </c>
      <c r="AF182" s="419" t="str">
        <f>IF($AL$56="GOED",$AF$56,$AL$56)</f>
        <v>LEEG</v>
      </c>
      <c r="AG182" s="419"/>
      <c r="AH182" s="419"/>
      <c r="AI182" s="419"/>
      <c r="AJ182" s="419"/>
      <c r="AK182" s="419"/>
      <c r="AL182" s="748" t="s">
        <v>381</v>
      </c>
      <c r="AM182" s="494" t="str">
        <f>IF(OR(AF182="LEEG",AF182="FOUT",AF182="ONGELDIG"),"onvoldoende gegevens",IF(SUBSTITUTE($AF$152,AF182,"##")=$AF$152,"NEE","JA"))</f>
        <v>onvoldoende gegevens</v>
      </c>
      <c r="AN182" s="419"/>
      <c r="AO182" s="498" t="s">
        <v>462</v>
      </c>
      <c r="AP182" s="757">
        <f>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IF(AP180&gt;=AP181,"JA",IF(AP179&gt;0,"onvoldoende gegevens","NEE"))</f>
        <v>onvoldoende gegevens</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fpr1PwyaUECA4OSYW0B/tydtnfmH/YMyM7I28whWKDl7giIp02U1SXIsludjPG33Kyj1KkLKpz4ewak2iQV5CA==" saltValue="DTmFDm/bkNMNZGlbY7PAR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PVH - Necarex EK 2024 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ooCF37SxaOl43Y6QdvzgTSAkK+n2nwOww/tXecyWBHyLM4XdEzc+Nn0ZKy4hjBMZWGyZrhM/fHefvUVHUxvlrQ==" saltValue="bqSOsKTiOXE0qTNgw+6S7Q=="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PVH - Necarex EK 2024 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Gegevens Deelnemer:</v>
      </c>
      <c r="E7" s="1260"/>
      <c r="F7" s="1260"/>
      <c r="G7" s="1260"/>
      <c r="H7" s="1260"/>
      <c r="I7" s="1260"/>
      <c r="J7" s="1260"/>
      <c r="K7" s="1260"/>
      <c r="L7" s="1260"/>
      <c r="M7" s="1260"/>
      <c r="N7" s="1260"/>
      <c r="O7" s="1260"/>
      <c r="P7" s="1261"/>
      <c r="Q7" s="17"/>
      <c r="R7" s="301">
        <f t="shared" ref="R7:R33" ca="1" si="1">IF($P$123=27,MID($S$123,(ROW()-7)*3+1,3)/10,99.9)</f>
        <v>10</v>
      </c>
      <c r="S7" s="44"/>
    </row>
    <row r="8" spans="1:24" ht="15" customHeight="1" x14ac:dyDescent="0.25">
      <c r="B8" s="17"/>
      <c r="C8" s="949"/>
      <c r="D8" s="1260" t="str">
        <f t="shared" ca="1" si="0"/>
        <v>Het generen van de naamcode incluslief e-mailadres is niet mogelijk in verband met het ontbreken van</v>
      </c>
      <c r="E8" s="1260"/>
      <c r="F8" s="1260"/>
      <c r="G8" s="1260"/>
      <c r="H8" s="1260"/>
      <c r="I8" s="1260"/>
      <c r="J8" s="1260"/>
      <c r="K8" s="1260"/>
      <c r="L8" s="1260"/>
      <c r="M8" s="1260"/>
      <c r="N8" s="1260"/>
      <c r="O8" s="1260"/>
      <c r="P8" s="1261"/>
      <c r="Q8" s="17"/>
      <c r="R8" s="301">
        <f t="shared" ca="1" si="1"/>
        <v>11.1</v>
      </c>
      <c r="S8" s="44"/>
    </row>
    <row r="9" spans="1:24" ht="15" customHeight="1" x14ac:dyDescent="0.25">
      <c r="B9" s="17"/>
      <c r="C9" s="949"/>
      <c r="D9" s="1260" t="str">
        <f t="shared" ca="1" si="0"/>
        <v>gegevens. Voer uw naam en e-mailadres in bovenaan het werkblad "Groepswedstrijden".</v>
      </c>
      <c r="E9" s="1260"/>
      <c r="F9" s="1260"/>
      <c r="G9" s="1260"/>
      <c r="H9" s="1260"/>
      <c r="I9" s="1260"/>
      <c r="J9" s="1260"/>
      <c r="K9" s="1260"/>
      <c r="L9" s="1260"/>
      <c r="M9" s="1260"/>
      <c r="N9" s="1260"/>
      <c r="O9" s="1260"/>
      <c r="P9" s="1261"/>
      <c r="Q9" s="17"/>
      <c r="R9" s="301">
        <f t="shared" ca="1" si="1"/>
        <v>11.2</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Voorspellingen Groepswedstrijden:</v>
      </c>
      <c r="E11" s="1260"/>
      <c r="F11" s="1260"/>
      <c r="G11" s="1260"/>
      <c r="H11" s="1260"/>
      <c r="I11" s="1260"/>
      <c r="J11" s="1260"/>
      <c r="K11" s="1260"/>
      <c r="L11" s="1260"/>
      <c r="M11" s="1260"/>
      <c r="N11" s="1260"/>
      <c r="O11" s="1260"/>
      <c r="P11" s="1261"/>
      <c r="Q11" s="17"/>
      <c r="R11" s="301">
        <f t="shared" ca="1" si="1"/>
        <v>20</v>
      </c>
      <c r="S11" s="44"/>
    </row>
    <row r="12" spans="1:24" ht="15" customHeight="1" x14ac:dyDescent="0.25">
      <c r="B12" s="17"/>
      <c r="C12" s="949"/>
      <c r="D12" s="1260" t="str">
        <f t="shared" ca="1" si="0"/>
        <v>Het genereren van de deelnamecode voor de groepswedstrijden is niet mogelijk in verband met het ontbreken</v>
      </c>
      <c r="E12" s="1260"/>
      <c r="F12" s="1260"/>
      <c r="G12" s="1260"/>
      <c r="H12" s="1260"/>
      <c r="I12" s="1260"/>
      <c r="J12" s="1260"/>
      <c r="K12" s="1260"/>
      <c r="L12" s="1260"/>
      <c r="M12" s="1260"/>
      <c r="N12" s="1260"/>
      <c r="O12" s="1260"/>
      <c r="P12" s="1261"/>
      <c r="Q12" s="17"/>
      <c r="R12" s="301">
        <f t="shared" ca="1" si="1"/>
        <v>21.1</v>
      </c>
      <c r="S12" s="44"/>
    </row>
    <row r="13" spans="1:24" ht="15" customHeight="1" x14ac:dyDescent="0.25">
      <c r="B13" s="17"/>
      <c r="C13" s="949"/>
      <c r="D13" s="1260" t="str">
        <f t="shared" ca="1" si="0"/>
        <v>van gegevens. Controleer of alle velden zijn ingevuld op het werkblad "Groepswedstrijden".</v>
      </c>
      <c r="E13" s="1260"/>
      <c r="F13" s="1260"/>
      <c r="G13" s="1260"/>
      <c r="H13" s="1260"/>
      <c r="I13" s="1260"/>
      <c r="J13" s="1260"/>
      <c r="K13" s="1260"/>
      <c r="L13" s="1260"/>
      <c r="M13" s="1260"/>
      <c r="N13" s="1260"/>
      <c r="O13" s="1260"/>
      <c r="P13" s="1261"/>
      <c r="Q13" s="17"/>
      <c r="R13" s="301">
        <f t="shared" ca="1" si="1"/>
        <v>21.2</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Voorspellingen Eindstand in de Groep:</v>
      </c>
      <c r="E15" s="1260"/>
      <c r="F15" s="1260"/>
      <c r="G15" s="1260"/>
      <c r="H15" s="1260"/>
      <c r="I15" s="1260"/>
      <c r="J15" s="1260"/>
      <c r="K15" s="1260"/>
      <c r="L15" s="1260"/>
      <c r="M15" s="1260"/>
      <c r="N15" s="1260"/>
      <c r="O15" s="1260"/>
      <c r="P15" s="1261"/>
      <c r="Q15" s="17"/>
      <c r="R15" s="301">
        <f t="shared" ca="1" si="1"/>
        <v>25</v>
      </c>
      <c r="S15" s="44"/>
    </row>
    <row r="16" spans="1:24" ht="15" customHeight="1" x14ac:dyDescent="0.25">
      <c r="B16" s="17"/>
      <c r="C16" s="949"/>
      <c r="D16" s="1260" t="str">
        <f t="shared" ca="1" si="0"/>
        <v>Het genereren van de deelnamecode voor de eindstand in de groep is niet mogelijk in verband met het</v>
      </c>
      <c r="E16" s="1260"/>
      <c r="F16" s="1260"/>
      <c r="G16" s="1260"/>
      <c r="H16" s="1260"/>
      <c r="I16" s="1260"/>
      <c r="J16" s="1260"/>
      <c r="K16" s="1260"/>
      <c r="L16" s="1260"/>
      <c r="M16" s="1260"/>
      <c r="N16" s="1260"/>
      <c r="O16" s="1260"/>
      <c r="P16" s="1261"/>
      <c r="Q16" s="17"/>
      <c r="R16" s="301">
        <f t="shared" ca="1" si="1"/>
        <v>26.1</v>
      </c>
      <c r="S16" s="44"/>
    </row>
    <row r="17" spans="2:19" ht="15" customHeight="1" x14ac:dyDescent="0.25">
      <c r="B17" s="17"/>
      <c r="C17" s="949"/>
      <c r="D17" s="1260" t="str">
        <f t="shared" ca="1" si="0"/>
        <v>ontbreken van gegevens. Controleer of alle velden zijn ingevuld op het werkblad "Eindstand Groep".</v>
      </c>
      <c r="E17" s="1260"/>
      <c r="F17" s="1260"/>
      <c r="G17" s="1260"/>
      <c r="H17" s="1260"/>
      <c r="I17" s="1260"/>
      <c r="J17" s="1260"/>
      <c r="K17" s="1260"/>
      <c r="L17" s="1260"/>
      <c r="M17" s="1260"/>
      <c r="N17" s="1260"/>
      <c r="O17" s="1260"/>
      <c r="P17" s="1261"/>
      <c r="Q17" s="17"/>
      <c r="R17" s="301">
        <f t="shared" ca="1" si="1"/>
        <v>26.2</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Voorspellingen Finalewedstrijden:</v>
      </c>
      <c r="E19" s="1260"/>
      <c r="F19" s="1260"/>
      <c r="G19" s="1260"/>
      <c r="H19" s="1260"/>
      <c r="I19" s="1260"/>
      <c r="J19" s="1260"/>
      <c r="K19" s="1260"/>
      <c r="L19" s="1260"/>
      <c r="M19" s="1260"/>
      <c r="N19" s="1260"/>
      <c r="O19" s="1260"/>
      <c r="P19" s="1261"/>
      <c r="Q19" s="17"/>
      <c r="R19" s="301">
        <f t="shared" ca="1" si="1"/>
        <v>30</v>
      </c>
      <c r="S19" s="44"/>
    </row>
    <row r="20" spans="2:19" ht="15" customHeight="1" x14ac:dyDescent="0.25">
      <c r="B20" s="17"/>
      <c r="C20" s="949"/>
      <c r="D20" s="1260" t="str">
        <f t="shared" ca="1" si="0"/>
        <v>Het genereren van de deelnamecode voor de finalewedstrijden is niet mogelijk in verband met het ontbreken</v>
      </c>
      <c r="E20" s="1260"/>
      <c r="F20" s="1260"/>
      <c r="G20" s="1260"/>
      <c r="H20" s="1260"/>
      <c r="I20" s="1260"/>
      <c r="J20" s="1260"/>
      <c r="K20" s="1260"/>
      <c r="L20" s="1260"/>
      <c r="M20" s="1260"/>
      <c r="N20" s="1260"/>
      <c r="O20" s="1260"/>
      <c r="P20" s="1261"/>
      <c r="Q20" s="17"/>
      <c r="R20" s="301">
        <f t="shared" ca="1" si="1"/>
        <v>31.1</v>
      </c>
      <c r="S20" s="44"/>
    </row>
    <row r="21" spans="2:19" ht="15" customHeight="1" x14ac:dyDescent="0.25">
      <c r="B21" s="17"/>
      <c r="C21" s="949"/>
      <c r="D21" s="1260" t="str">
        <f t="shared" ca="1" si="0"/>
        <v>van gegevens. Controleer of alle velden zijn ingevuld op het werkblad "Finalewedstrijden".</v>
      </c>
      <c r="E21" s="1260"/>
      <c r="F21" s="1260"/>
      <c r="G21" s="1260"/>
      <c r="H21" s="1260"/>
      <c r="I21" s="1260"/>
      <c r="J21" s="1260"/>
      <c r="K21" s="1260"/>
      <c r="L21" s="1260"/>
      <c r="M21" s="1260"/>
      <c r="N21" s="1260"/>
      <c r="O21" s="1260"/>
      <c r="P21" s="1261"/>
      <c r="Q21" s="17"/>
      <c r="R21" s="301">
        <f t="shared" ca="1" si="1"/>
        <v>31.2</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Voorspelling Winnaar EURO 2024:</v>
      </c>
      <c r="E23" s="1260"/>
      <c r="F23" s="1260"/>
      <c r="G23" s="1260"/>
      <c r="H23" s="1260"/>
      <c r="I23" s="1260"/>
      <c r="J23" s="1260"/>
      <c r="K23" s="1260"/>
      <c r="L23" s="1260"/>
      <c r="M23" s="1260"/>
      <c r="N23" s="1260"/>
      <c r="O23" s="1260"/>
      <c r="P23" s="1261"/>
      <c r="Q23" s="17"/>
      <c r="R23" s="301">
        <f t="shared" ca="1" si="1"/>
        <v>40</v>
      </c>
      <c r="S23" s="44"/>
    </row>
    <row r="24" spans="2:19" ht="15" customHeight="1" x14ac:dyDescent="0.25">
      <c r="B24" s="17"/>
      <c r="C24" s="964"/>
      <c r="D24" s="1260" t="str">
        <f t="shared" ca="1" si="0"/>
        <v>Het genereren van de deelnamecode voor de winnaar van het EK is niet mogelijk in verband met het ontbreken</v>
      </c>
      <c r="E24" s="1260"/>
      <c r="F24" s="1260"/>
      <c r="G24" s="1260"/>
      <c r="H24" s="1260"/>
      <c r="I24" s="1260"/>
      <c r="J24" s="1260"/>
      <c r="K24" s="1260"/>
      <c r="L24" s="1260"/>
      <c r="M24" s="1260"/>
      <c r="N24" s="1260"/>
      <c r="O24" s="1260"/>
      <c r="P24" s="1261"/>
      <c r="Q24" s="17"/>
      <c r="R24" s="301">
        <f t="shared" ca="1" si="1"/>
        <v>41.1</v>
      </c>
      <c r="S24" s="44"/>
    </row>
    <row r="25" spans="2:19" ht="15" customHeight="1" x14ac:dyDescent="0.25">
      <c r="B25" s="17"/>
      <c r="C25" s="964"/>
      <c r="D25" s="1260" t="str">
        <f t="shared" ca="1" si="0"/>
        <v>van gegevens. Voorspel de winnaar van het EK op het werkblad "Finalewedstrijden".</v>
      </c>
      <c r="E25" s="1260"/>
      <c r="F25" s="1260"/>
      <c r="G25" s="1260"/>
      <c r="H25" s="1260"/>
      <c r="I25" s="1260"/>
      <c r="J25" s="1260"/>
      <c r="K25" s="1260"/>
      <c r="L25" s="1260"/>
      <c r="M25" s="1260"/>
      <c r="N25" s="1260"/>
      <c r="O25" s="1260"/>
      <c r="P25" s="1261"/>
      <c r="Q25" s="17"/>
      <c r="R25" s="301">
        <f t="shared" ca="1" si="1"/>
        <v>41.2</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FOUT</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IF(N54="E1e",'Eindstand Groep'!AA59,"n.v.t.")</f>
        <v>FOUT</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IF(N55="F1e",Finalewedstrijden!AP71,IF(N55="F2e",#REF!,IF(N55="F3e",#REF!,"n.v.t.")))</f>
        <v>FOUT</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NEE</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|0#</v>
      </c>
      <c r="U62" s="303"/>
      <c r="V62" s="303"/>
      <c r="W62" s="303"/>
      <c r="X62" s="303"/>
      <c r="Y62" s="303"/>
      <c r="Z62" s="306">
        <f>B63</f>
        <v>10</v>
      </c>
      <c r="AA62" s="303"/>
      <c r="AB62" s="303"/>
      <c r="AC62" s="305" t="s">
        <v>487</v>
      </c>
      <c r="AD62" s="303" t="str">
        <f>IF($N$53="G1e",Groepswedstrijden!AA88,IF($N$53="G2e",#REF!,0))</f>
        <v>|0#</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LEEG</v>
      </c>
      <c r="U63" s="303"/>
      <c r="V63" s="303"/>
      <c r="W63" s="303"/>
      <c r="X63" s="303"/>
      <c r="Y63" s="303"/>
      <c r="Z63" s="306">
        <f>IF(AND(T66="GOED",AD66="GOED"),13,IF(AND(T66="GOED",AD66="LEEG",AD69="NEE"),13,IF(OR(T66="LEEG",AD66="LEEG"),11.1,12.1)))</f>
        <v>11.1</v>
      </c>
      <c r="AA63" s="303"/>
      <c r="AB63" s="303"/>
      <c r="AC63" s="305" t="s">
        <v>330</v>
      </c>
      <c r="AD63" s="76" t="str">
        <f>IF($N$53="G1e",Groepswedstrijden!AA89,IF($N$53="G2e",#REF!,0))</f>
        <v>LEEG</v>
      </c>
      <c r="AE63" s="303"/>
      <c r="AF63" s="303"/>
      <c r="AG63" s="303"/>
      <c r="AH63" s="303"/>
    </row>
    <row r="64" spans="2:34" hidden="1" x14ac:dyDescent="0.25">
      <c r="B64" s="1272">
        <v>11.1</v>
      </c>
      <c r="C64" s="1272"/>
      <c r="D64" s="779" t="str">
        <f ca="1">IF(AND($AD$68="JA",$AD$69="JA"),IF(AND($AF$68="LEEG",$AF$69="LEEG"),AB76,IF($AF$68="LEEG",AB72,AB74)),AB72)</f>
        <v>Het generen van de naamcode incluslief e-mailadres is niet mogelijk in verband met het ontbreken van</v>
      </c>
      <c r="E64" s="303"/>
      <c r="F64" s="303"/>
      <c r="G64" s="303"/>
      <c r="H64" s="303"/>
      <c r="I64" s="303"/>
      <c r="J64" s="303"/>
      <c r="K64" s="303"/>
      <c r="L64" s="303"/>
      <c r="M64" s="303"/>
      <c r="N64" s="303"/>
      <c r="O64" s="72"/>
      <c r="P64" s="303"/>
      <c r="Q64" s="303"/>
      <c r="R64" s="303"/>
      <c r="S64" s="305" t="s">
        <v>332</v>
      </c>
      <c r="T64" s="76" t="str">
        <f>IF(CODE(RIGHT(T62,1))=35,LEFT(RIGHT(T62,2),1),RIGHT(T62,2))</f>
        <v>0</v>
      </c>
      <c r="U64" s="303"/>
      <c r="V64" s="303"/>
      <c r="W64" s="303"/>
      <c r="X64" s="303"/>
      <c r="Y64" s="303"/>
      <c r="Z64" s="303">
        <f>IF(Z63-FLOOR(Z63,1)&gt;0,Z63+0.1,"")</f>
        <v>11.2</v>
      </c>
      <c r="AA64" s="303"/>
      <c r="AB64" s="303"/>
      <c r="AC64" s="305" t="s">
        <v>488</v>
      </c>
      <c r="AD64" s="76" t="str">
        <f>IF(CODE(RIGHT(AD62,1))=35,LEFT(RIGHT(AD62,2),1),RIGHT(AD62,2))</f>
        <v>0</v>
      </c>
      <c r="AE64" s="303"/>
      <c r="AF64" s="303"/>
      <c r="AG64" s="303"/>
      <c r="AH64" s="303"/>
    </row>
    <row r="65" spans="2:34" hidden="1" x14ac:dyDescent="0.25">
      <c r="B65" s="1272">
        <v>11.2</v>
      </c>
      <c r="C65" s="1272"/>
      <c r="D65" s="779" t="str">
        <f ca="1">IF(AND($AD$68="JA",$AD$69="JA"),IF(AND($AF$68="LEEG",$AF$69="LEEG"),AB77,IF($AF$68="LEEG",AB73,AB75)),AB73)</f>
        <v>gegevens. Voer uw naam en 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LEEG</v>
      </c>
      <c r="U65" s="324" t="str">
        <f>T64+3&amp;" = goed / 0 = leeg"</f>
        <v>3 = goed / 0 = leeg</v>
      </c>
      <c r="V65" s="303"/>
      <c r="W65" s="303"/>
      <c r="X65" s="303"/>
      <c r="Y65" s="303"/>
      <c r="Z65" s="303"/>
      <c r="AA65" s="303"/>
      <c r="AB65" s="303"/>
      <c r="AC65" s="305" t="s">
        <v>333</v>
      </c>
      <c r="AD65" s="76" t="str">
        <f>IF(AD64*1=0,"LEEG",IF(AD64*1&gt;64,"LANG",IF(LEN(AD62)=AD64*1+3,"GOED","FOUT")))</f>
        <v>LEEG</v>
      </c>
      <c r="AE65" s="324" t="str">
        <f>AD64+3&amp;" = goed / 0 = leeg"</f>
        <v>3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LEEG</v>
      </c>
      <c r="U66" s="303"/>
      <c r="V66" s="303"/>
      <c r="W66" s="303"/>
      <c r="X66" s="303"/>
      <c r="Y66" s="303"/>
      <c r="Z66" s="303"/>
      <c r="AA66" s="303"/>
      <c r="AB66" s="303"/>
      <c r="AC66" s="305" t="s">
        <v>334</v>
      </c>
      <c r="AD66" s="76" t="str">
        <f>IF(AND(AD63="GOED",AD65="GOED"),"GOED",IF(AND(OR(AD63="LEEG",AD63="OPTIE"),AD65="LEEG"),"LEEG","FOUT"))</f>
        <v>LEEG</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LEEG</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|FOUTFOUTFOUTFOUTFOUTFOUTFOUTFOUTFOUTFOUTFOUTFOUTFOUTFOUTFOUTFOUTFOUTFOUTFOUTFOUTFOUTFOUTFOUTFOUTFOUTFOUTFOUTFOUTFOUTFOUTFOUTFOUTFOUTFOUTFOUTFOUT</v>
      </c>
      <c r="U69" s="303"/>
      <c r="V69" s="303"/>
      <c r="W69" s="303"/>
      <c r="X69" s="303"/>
      <c r="Y69" s="303"/>
      <c r="Z69" s="306">
        <v>20</v>
      </c>
      <c r="AA69" s="72"/>
      <c r="AB69" s="303"/>
      <c r="AC69" s="305" t="s">
        <v>483</v>
      </c>
      <c r="AD69" s="302" t="str">
        <f>IF(AND(Reglement!Q81=1,Reglement!H88="JA"),"JA","NEE")</f>
        <v>JA</v>
      </c>
      <c r="AE69" s="518" t="s">
        <v>381</v>
      </c>
      <c r="AF69" s="303" t="str">
        <f>IF(AND(AD69="NEE",AD66="LEEG"),"GOED",AD66)</f>
        <v>LEEG</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FOUT</v>
      </c>
      <c r="U70" s="303"/>
      <c r="V70" s="303"/>
      <c r="W70" s="303"/>
      <c r="X70" s="303"/>
      <c r="Y70" s="303"/>
      <c r="Z70" s="306">
        <f ca="1">IF(T76="GOED",23,IF(T76="LEEG",21.1,IF(T76="FOUT",22.1,22.5)))</f>
        <v>21.1</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LEEG</v>
      </c>
      <c r="U71" s="418" t="str">
        <f>"G1e: "&amp;$Z$57&amp;" = goed / G2e: "&amp;$AA$57&amp;" = goed / "&amp;$AC$57&amp;" = leeg"</f>
        <v>G1e: 109 = goed / G2e: 73 = goed / 145 = leeg</v>
      </c>
      <c r="V71" s="303"/>
      <c r="W71" s="303"/>
      <c r="X71" s="303"/>
      <c r="Y71" s="303"/>
      <c r="Z71" s="303">
        <f ca="1">IF(Z70-FLOOR(Z70,1)&gt;0,Z70+0.1,"")</f>
        <v>21.200000000000003</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72</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0</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LEEG</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IF($N$54="E1e",'Eindstand Groep'!X57,0)</f>
        <v>FOUTFOUTFOUTFOUTFOUTFOUT</v>
      </c>
      <c r="U79" s="303"/>
      <c r="V79" s="303"/>
      <c r="W79" s="303"/>
      <c r="X79" s="303"/>
      <c r="Y79" s="303"/>
      <c r="Z79" s="306">
        <f>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IF(LEN(T79)=LEN(SUBSTITUTE(T79,"FOUT","controleren"))/2+LEN(SUBSTITUTE(T79,"ONGELDIG","controleren"))/2,"GOED","FOUT")</f>
        <v>FOUT</v>
      </c>
      <c r="U80" s="303"/>
      <c r="V80" s="303"/>
      <c r="W80" s="303"/>
      <c r="X80" s="303"/>
      <c r="Y80" s="303"/>
      <c r="Z80" s="306">
        <f>IF(T86="NVT","",IF(T86="GOED",28,IF(T86="LEEG",26.1,IF(T86="FOUT",27.1,27.5))))</f>
        <v>26.1</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IF(LEN(T79)=$Z$55,"GOED",IF(LEN(T79)=$AC$55,"LEEG","FOUT"))</f>
        <v>LEEG</v>
      </c>
      <c r="U81" s="418" t="str">
        <f>"E1e: "&amp;$Z$55&amp;" = goed / "&amp;$AD$55&amp;" = leeg"</f>
        <v>E1e: 72 = goed / 24 = leeg</v>
      </c>
      <c r="V81" s="303"/>
      <c r="W81" s="303"/>
      <c r="X81" s="303"/>
      <c r="Y81" s="303"/>
      <c r="Z81" s="303">
        <f>IF(T86="NVT","",IF(Z80-FLOOR(Z80,1)&gt;0,Z80+0.1,""))</f>
        <v>26.200000000000003</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IF($N$54="E1e",COUNTIF('Eindstand Groep'!Y15:Z54,"LEEG"),0)</f>
        <v>24</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IF($N$54="E1e",COUNTIF('Eindstand Groep'!Y15:Z54,"GOED"),0)</f>
        <v>0</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IF($H$55= "JA",IF(AND(T80="GOED",T81="GOED",T82=0,T83=0,T84=0,T85=$AD$55),"GOED",IF(T82&gt;0,"LEEG",IF(T83+T84&lt;2,"FOUT","FOUTEN"))),"NVT")</f>
        <v>LEEG</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IF($N$55="F1e",Finalewedstrijden!AN71,IF($N$55="F2e",#REF!,IF($N$55="F3e",#REF!,0)))</f>
        <v>FOUTFOUTFOUTFOUTFOUTFOUTFOUTFOUTFOUTFOUTFOUTFOUTFOUTFOUTFOUT</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IF(LEN(T89)=LEN(SUBSTITUTE(T89,"FOUT","ONGELDIG")),"GOED","FOUT")</f>
        <v>FOUT</v>
      </c>
      <c r="U90" s="303"/>
      <c r="V90" s="303"/>
      <c r="W90" s="303"/>
      <c r="X90" s="303"/>
      <c r="Y90" s="303"/>
      <c r="Z90" s="306">
        <f>IF(T96="GOED",33,IF(T96="LEEG",31.1,IF(T96="FOUT",32.1,32.5)))</f>
        <v>31.1</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IF($N$55="F1e",IF(LEN(T89)=$Z$58,"GOED",IF(LEN(T89)=$AC$58,"LEEG","FOUT")),IF($N$55="F2e",IF(LEN(T89)=$AA$58,"GOED",IF(LEN(T89)=$AC$58,"LEEG","FOUT")),IF($N$55="F3e",IF(LEN(T89)=$AB$58,"GOED",IF(LEN(T89)=$AC$58,"LEEG","FOUT")),"FOUT")))</f>
        <v>LEEG</v>
      </c>
      <c r="U91" s="418" t="str">
        <f>"F1e: "&amp;$Z$58&amp;" = goed / F2e: "&amp;$AA$58&amp;" = goed / F3e: "&amp;$AB$58&amp;" = goed / "&amp;$AC$58&amp;" = leeg"</f>
        <v>F1e: 105 = goed / F2e: 90 = goed / F3e: 75 = goed / 60 = leeg</v>
      </c>
      <c r="V91" s="303"/>
      <c r="W91" s="303"/>
      <c r="X91" s="303"/>
      <c r="Y91" s="303"/>
      <c r="Z91" s="303">
        <f>IF(Z90-FLOOR(Z90,1)&gt;0,Z90+0.1,"")</f>
        <v>31.200000000000003</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IF($N$55="F1e",COUNTIF(Finalewedstrijden!AK14:AO56,"LEEG"),IF($N$55="F2e",COUNTIF(#REF!,"LEEG"),IF($N$55="F3e",COUNTIF(#REF!,"LEEG"),0)))</f>
        <v>60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IF($N$55="F1e",COUNTIF(Finalewedstrijden!AK14:AO56,"ONGELDIG"),IF($N$55="F2e",COUNTIF(#REF!,"ONGELDIG"),IF($N$55="F3e",COUNTIF(#REF!,"ONGELDIG"),0)))-IF(Z94="A",0,W94)</f>
        <v>0</v>
      </c>
      <c r="U94" s="303"/>
      <c r="V94" s="305" t="s">
        <v>347</v>
      </c>
      <c r="W94" s="419">
        <f>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IF($N$55="F1e",COUNTIF(Finalewedstrijden!AK14:AO56,"GOED"),IF($N$55="F2e",COUNTIF(#REF!,"GOED"),IF($N$55="F3e",COUNTIF(#REF!,"GOED"),0)))</f>
        <v>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IF(AND(T90="GOED",T91="GOED",T92=0,T93=0,T94=0,W94=0,IF($N$55="F1e",T95=$AD$58,IF($N$55="F2e",T95=$AE$58,IF($N$55="F3e",T95=$AF$58,0)))),"GOED",IF(T92&gt;0,"LEEG",IF(T93+T94+W94&lt;2,"FOUT","FOUTEN")))</f>
        <v>LEEG</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IF($N$55="F1e",Finalewedstrijden!AO59,IF($N$55="F2e",#REF!,IF($N$55="F3e",#REF!,0)))</f>
        <v>FOUT</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IF($N$55="F1e",Finalewedstrijden!AL59,IF($N$55="F2e",#REF!,IF($N$55="F3e",#REF!,0)))</f>
        <v>LEEG</v>
      </c>
      <c r="U100" s="303"/>
      <c r="V100" s="303"/>
      <c r="W100" s="303"/>
      <c r="X100" s="303"/>
      <c r="Y100" s="303"/>
      <c r="Z100" s="306">
        <f>IF(T102="GOED",43,IF(T102="LEEG",41.1,42.1))</f>
        <v>41.1</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IF(LEN(T99)=3,"GOED",IF(LEN(T99)=4,"LEEG","FOUT"))</f>
        <v>LEEG</v>
      </c>
      <c r="U101" s="324" t="s">
        <v>357</v>
      </c>
      <c r="V101" s="303"/>
      <c r="W101" s="303"/>
      <c r="X101" s="303"/>
      <c r="Y101" s="303"/>
      <c r="Z101" s="303">
        <f>IF(Z100-FLOOR(Z100,1)&gt;0,Z100+0.1,"")</f>
        <v>41.2</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IF(AND(T100="GOED",T101="GOED"),"GOED",IF(AND(T100="LEEG",T101="LEEG"),"LEEG","FOUT"))</f>
        <v>LEEG</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25</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2</v>
      </c>
      <c r="I118" s="316">
        <f>IF(T66="GOED",1,0)+IF(AD66="GOED",1,0)+IF(AND(AD66="LEEG",AD69="NEE"),1,0)</f>
        <v>0</v>
      </c>
      <c r="J118" s="316">
        <f>IF(T66="FOUT",1,0)+IF(AD66="FOUT",1,0)</f>
        <v>0</v>
      </c>
      <c r="K118" s="521" t="str">
        <f>IF(AND(AF68="GOED",AF69="GOED"),"GOED",IF(OR(AF68="LEEG",AF69="LEEG"),"LEEG","FOUT"))</f>
        <v>LEEG</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72</v>
      </c>
      <c r="I119" s="316">
        <f ca="1">T75</f>
        <v>0</v>
      </c>
      <c r="J119" s="316">
        <f ca="1">T73+T74</f>
        <v>0</v>
      </c>
      <c r="K119" s="316" t="str">
        <f ca="1">T76</f>
        <v>LEEG</v>
      </c>
      <c r="L119" s="317"/>
      <c r="M119" s="318"/>
      <c r="N119" s="317"/>
      <c r="O119" s="72"/>
      <c r="P119" s="307"/>
      <c r="Q119" s="307"/>
      <c r="R119" s="307"/>
      <c r="S119" s="308"/>
      <c r="T119" s="307"/>
      <c r="U119" s="307"/>
      <c r="V119" s="307"/>
      <c r="W119" s="307"/>
      <c r="X119" s="307"/>
      <c r="Y119" s="307"/>
      <c r="Z119" s="309" t="str">
        <f ca="1">IF(Y117&lt;25,B116,"")</f>
        <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IF(T86="NVT",0,$AD$55)</f>
        <v>24</v>
      </c>
      <c r="H120" s="316">
        <f>IF(T86="NVT",0,T82)</f>
        <v>24</v>
      </c>
      <c r="I120" s="316">
        <f>IF(T86="NVT",0,T85)</f>
        <v>0</v>
      </c>
      <c r="J120" s="316">
        <f>IF(T86="NVT",0,T83+T84)</f>
        <v>0</v>
      </c>
      <c r="K120" s="316" t="str">
        <f>IF(T86="NVT","GOED",T86)</f>
        <v>LEEG</v>
      </c>
      <c r="L120" s="317"/>
      <c r="M120" s="318"/>
      <c r="N120" s="317"/>
      <c r="O120" s="72"/>
      <c r="P120" s="307"/>
      <c r="Q120" s="307"/>
      <c r="R120" s="307"/>
      <c r="S120" s="308"/>
      <c r="T120" s="307"/>
      <c r="U120" s="307"/>
      <c r="V120" s="307"/>
      <c r="W120" s="307"/>
      <c r="X120" s="307"/>
      <c r="Y120" s="307"/>
      <c r="Z120" s="309" t="str">
        <f ca="1">IF(Y117&lt;24,B116,"")</f>
        <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T92</f>
        <v>60</v>
      </c>
      <c r="I121" s="316">
        <f>T95</f>
        <v>0</v>
      </c>
      <c r="J121" s="316">
        <f>T93+T94</f>
        <v>0</v>
      </c>
      <c r="K121" s="316" t="str">
        <f>T96</f>
        <v>LEEG</v>
      </c>
      <c r="L121" s="317"/>
      <c r="M121" s="318"/>
      <c r="N121" s="317"/>
      <c r="O121" s="72"/>
      <c r="P121" s="307"/>
      <c r="Q121" s="307"/>
      <c r="R121" s="307"/>
      <c r="S121" s="308"/>
      <c r="T121" s="307"/>
      <c r="U121" s="307"/>
      <c r="V121" s="307"/>
      <c r="W121" s="307"/>
      <c r="X121" s="307"/>
      <c r="Y121" s="307"/>
      <c r="Z121" s="309" t="str">
        <f ca="1">IF(Y117&lt;23,B116,"")</f>
        <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IF(K122="LEEG",1,0)</f>
        <v>1</v>
      </c>
      <c r="I122" s="316">
        <f>IF(K122="GOED",1,0)</f>
        <v>0</v>
      </c>
      <c r="J122" s="316">
        <f>IF(K122="FOUT",1,0)</f>
        <v>0</v>
      </c>
      <c r="K122" s="316" t="str">
        <f>T102</f>
        <v>LEEG</v>
      </c>
      <c r="L122" s="318"/>
      <c r="M122" s="318"/>
      <c r="N122" s="317"/>
      <c r="O122" s="72"/>
      <c r="P122" s="72"/>
      <c r="Q122" s="72"/>
      <c r="R122" s="72"/>
      <c r="S122" s="72"/>
      <c r="T122" s="72"/>
      <c r="U122" s="72"/>
      <c r="V122" s="72"/>
      <c r="W122" s="72"/>
      <c r="X122" s="72"/>
      <c r="Y122" s="72"/>
      <c r="Z122" s="308" t="str">
        <f ca="1">IF(Y117&lt;22,B116,"")</f>
        <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27</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SUM(G118:G124)</f>
        <v>159</v>
      </c>
      <c r="H125" s="316">
        <f ca="1">SUM(H118:H124)</f>
        <v>159</v>
      </c>
      <c r="I125" s="316">
        <f ca="1">SUM(I118:I124)</f>
        <v>0</v>
      </c>
      <c r="J125" s="316">
        <f ca="1">SUM(J118:J124)</f>
        <v>0</v>
      </c>
      <c r="K125" s="316">
        <f ca="1">COUNTIF(K118:K124,"GOED")</f>
        <v>2</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2</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de volgende onderdelen</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 ca="1">IF(K118="GOED","",B118)</f>
        <v>Gegevens Deelnemer</v>
      </c>
      <c r="C130" s="1285"/>
      <c r="D130" s="1285"/>
      <c r="E130" s="1285"/>
      <c r="F130" s="1285"/>
      <c r="G130" s="1285"/>
      <c r="H130" s="52" t="str">
        <f ca="1">IF(B130="","",IF(AND(B131="",B132="",I130="",I131="",I132="",I133=""),"",", "))</f>
        <v xml:space="preserve">, </v>
      </c>
      <c r="I130" s="1285" t="str">
        <f ca="1">IF(K121="GOED","",B121)</f>
        <v>Voorspellingen Finalewedstrijden</v>
      </c>
      <c r="J130" s="1285"/>
      <c r="K130" s="1285"/>
      <c r="L130" s="1285"/>
      <c r="M130" s="52" t="str">
        <f ca="1">IF(I130="","",IF(AND(I131="",I132="",I133=""),"",", "))</f>
        <v xml:space="preserve">,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Voorspellingen Groepswedstrijden</v>
      </c>
      <c r="C131" s="1285"/>
      <c r="D131" s="1285"/>
      <c r="E131" s="1285"/>
      <c r="F131" s="1285"/>
      <c r="G131" s="1285"/>
      <c r="H131" s="52" t="str">
        <f ca="1">IF(B131="","",IF(AND(B132="",I130="",I131="",I132="",I133=""),"",", "))</f>
        <v xml:space="preserve">, </v>
      </c>
      <c r="I131" s="1285" t="str">
        <f ca="1">IF(K122="GOED","",B122)</f>
        <v>Voorspelling Winnaar EURO 2024</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Voorspellingen Eindstand in de Groep</v>
      </c>
      <c r="C132" s="1285"/>
      <c r="D132" s="1285"/>
      <c r="E132" s="1285"/>
      <c r="F132" s="1285"/>
      <c r="G132" s="1285"/>
      <c r="H132" s="52" t="str">
        <f ca="1">IF(B132="","",IF(AND(I130="",I131="",I132="",I133=""),"",", "))</f>
        <v xml:space="preserve">,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|dh|FOUTFOUTFOUTFOUTFOUTFOUTFOUTFOUTFOUTFOUTFOUTFOUTFOUTFOUTFOUTFOUTFOUTFOUTFOUTFOUTFOUTFOUTFOUTFOUTFOUTFOUTFOUTFOUTFOUTFOUTFOUTFOUTFOUTFOUTFOUTFOUTFOUTFOUTFOUTFOUTFOUTFOUTFOUTFOUTFOUTFOUTFOUTFOUTFOUTFOUTFOUTFOUTFOUTFOUTFOUTFOUTFOUTFOUT|0#|</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|dh|FOUTFOUTFOUTFOUTFOUTFOUTFOUTFOUTFOUTFOUTFOUTFOUTFOUTFOUTFOUTFOUTFOUTFOUTFOUTFOUTFOUTFOUTFOUTFOUTFOUTFOUTFOUTFOUTFOUTFOUTFOUTFOUTFOUTFOUTFOUTFOUTFOUTFOUTFOUTFOUTFOUTFOUTFOUTFOUTFOUTFOUTFOUTFOUTFOUTFOUTFOUTFOUTFOUTFOUTFOUTFOUTFOUTFOUT|0#|</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tVy8omdeQuhtzgRbqaLU7xwvboBXb30urj/vKEouet0KUEnLluLiy4WJHClG2Ng+/yOgfeJcn33tWuiAGLswcA==" saltValue="AsTIGHMLvlkjUERfiulTUw=="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abSelected="1"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PVH - Necarex EK 2024 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40 DAGEN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45417</v>
      </c>
      <c r="K45" s="1036">
        <v>45457</v>
      </c>
      <c r="L45" s="1036"/>
      <c r="M45" s="431">
        <f ca="1">K45-J45</f>
        <v>40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m8aKIAyioHYECjb1uEDxdrIjaH6f0XoIYxNHSt8aD2fE04pLUkVtIb9k2vsdTO0G7Dmr5qjblQsyvERgEbh9iA==" saltValue="3x5sAPOSusBAvakN5Mk+ew=="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14"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PVH - Necarex EK 2024 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13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13 juni ingeleverd te worden bij Ron van Deursen (ekpool@donron.nl).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str">
        <f ca="1">IF(R10="geen",Taal03!B15,SUBSTITUTE(IF(H106=0,Taal03!B16,IF(C98= "NEE",Taal03!B17,Taal03!B18)),"###",FIXED(M106,2))&amp;" "&amp;IF(R71=RIGHT(S71,2),Taal03!B19,Taal03!B20))</f>
        <v>Deze pool heeft voor deelname een verplichte inleg van €10,00 (zie werkblad 'Prijzenpot' voor meer info).</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wel toegestaan om als deelnemer meerdere deelname formulieren in te leveren.</v>
      </c>
      <c r="E12" s="1077"/>
      <c r="F12" s="1077"/>
      <c r="G12" s="1077"/>
      <c r="H12" s="1077"/>
      <c r="I12" s="1077"/>
      <c r="J12" s="1077"/>
      <c r="K12" s="1077"/>
      <c r="L12" s="1077"/>
      <c r="M12" s="1077"/>
      <c r="N12" s="60"/>
      <c r="O12" s="1057"/>
      <c r="P12" s="1057"/>
      <c r="R12" s="38" t="str">
        <f>IF(H89="JA","wel","niet")</f>
        <v>wel</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100101900102104105106900107108109110111900200201202204900300301401403404900500501503900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50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20</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50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20</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20</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20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20</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20</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20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20</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10</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10</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30</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30</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10</v>
      </c>
      <c r="E50" s="1057" t="str">
        <f t="shared" ca="1" si="1"/>
        <v>Punten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10</v>
      </c>
      <c r="U52" s="5" t="str">
        <f ca="1">IF(OR($Q$81=0,$G$134="NEE",TYPE($H$126)=1,T52=0),"",IF($H$125=1,Taal03!B$50,Taal03!B$51)&amp;" "&amp;IF(AND($G$134="JA",$G$135="JA"),IF($H$132="NEE",Taal03!B111,Taal03!B112),IF($H$132="NEE",Taal03!B88,Taal03!B89)))</f>
        <v>Punten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BONUSPUNTEN</v>
      </c>
      <c r="F54" s="1057"/>
      <c r="G54" s="1057"/>
      <c r="H54" s="1057"/>
      <c r="I54" s="1057"/>
      <c r="J54" s="1057"/>
      <c r="K54" s="1057"/>
      <c r="L54" s="1057"/>
      <c r="M54" s="1057"/>
      <c r="N54" s="1058"/>
      <c r="O54" s="411"/>
      <c r="P54" s="411"/>
      <c r="R54" s="10">
        <f t="shared" ca="1" si="2"/>
        <v>500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f t="shared" ca="1" si="0"/>
        <v>10</v>
      </c>
      <c r="E55" s="1057" t="str">
        <f t="shared" ca="1" si="1"/>
        <v>Bonuspunten voor iedere finalewedstrijd waarbij beide landen op de juiste positie zijn voorspeld.</v>
      </c>
      <c r="F55" s="1057"/>
      <c r="G55" s="1057"/>
      <c r="H55" s="1057"/>
      <c r="I55" s="1057"/>
      <c r="J55" s="1057"/>
      <c r="K55" s="1057"/>
      <c r="L55" s="1057"/>
      <c r="M55" s="1057"/>
      <c r="N55" s="1058"/>
      <c r="O55" s="411"/>
      <c r="P55" s="411"/>
      <c r="R55" s="10">
        <f t="shared" ca="1" si="2"/>
        <v>501</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f t="shared" ca="1" si="0"/>
        <v>10</v>
      </c>
      <c r="E56" s="1057" t="str">
        <f t="shared" ca="1" si="1"/>
        <v>Bonuspunten voor het volledig juist voorspellen van alle landen bij de eindstand van één groep.</v>
      </c>
      <c r="F56" s="1057"/>
      <c r="G56" s="1057"/>
      <c r="H56" s="1057"/>
      <c r="I56" s="1057"/>
      <c r="J56" s="1057"/>
      <c r="K56" s="1057"/>
      <c r="L56" s="1057"/>
      <c r="M56" s="1057"/>
      <c r="N56" s="1058"/>
      <c r="O56" s="411"/>
      <c r="P56" s="411"/>
      <c r="R56" s="10">
        <f t="shared" ca="1" si="2"/>
        <v>503</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 ca="1">IF(U59="",999,500)</f>
        <v>500</v>
      </c>
      <c r="T59" s="10" t="str">
        <f>""</f>
        <v/>
      </c>
      <c r="U59" s="184" t="str">
        <f ca="1">IF(OR($Q$81=0,AND(TYPE($H$127)&lt;&gt;1,TYPE($H$128)&lt;&gt;1)),"",UPPER(Taal03!B125))</f>
        <v>BONUSPUNTEN</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 ca="1">IF(U60="",999,501)</f>
        <v>501</v>
      </c>
      <c r="T60" s="235">
        <f>IF(OR($Q$81=0,TYPE($H$127)&lt;&gt;1),"",$H$127)</f>
        <v>10</v>
      </c>
      <c r="U60" s="296" t="str">
        <f ca="1">IF(OR($Q$81=0,TYPE($H$127)&lt;&gt;1),"",SUBSTITUTE(IF(F127="A",Taal03!B126,IF(F127="B",Taal03!B128,IF(F127="C",IF($G$138="NEE",Taal03!B130,IF($G$131="B",Taal03!B134,IF($G$131="C",Taal03!B136,Taal03!B132))),IF(F127="D",IF($G$137="NEE",Taal03!B138,IF($G$131="B",Taal03!B142,IF($G$131="C",Taal03!B144,Taal03!B140))),Taal03!B146)))),"$$$",LOWER(IF($H$127=1,Taal03!$B$50,Taal03!$B$51))))</f>
        <v>Bonuspunten voor iedere finalewedstrijd waarbij beide landen op de juiste positie zijn voorspeld.</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 ca="1">IF(U61="",999,502)</f>
        <v>999</v>
      </c>
      <c r="T61" s="235" t="str">
        <f>""</f>
        <v/>
      </c>
      <c r="U61" s="296"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 ca="1">IF(U62="",999,503)</f>
        <v>503</v>
      </c>
      <c r="T62" s="235">
        <f>IF(OR($Q$81=0,TYPE($H$128)&lt;&gt;1),"",$H$128)</f>
        <v>10</v>
      </c>
      <c r="U62" s="296" t="str">
        <f ca="1">IF(OR($Q$81=0,TYPE($H$128)&lt;&gt;1),"",SUBSTITUTE(IF(F128="A",Taal03!B126,IF(F128="B",Taal03!B128,IF(F128="C",IF($G$138="NEE",Taal03!B130,IF($G$131="B",Taal03!B134,IF($G$131="C",Taal03!B136,Taal03!B132))),IF(F128="D",IF($G$137="NEE",Taal03!B138,IF($G$131="B",Taal03!B142,IF($G$131="C",Taal03!B144,Taal03!B140))),Taal03!B146)))),"$$$",LOWER(IF($H$128=1,Taal03!$B$50,Taal03!$B$51))))</f>
        <v>Bonuspunten voor het volledig juist voorspellen van alle landen bij de eindstand van één groep.</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 ca="1">IF(U63="",999,504)</f>
        <v>999</v>
      </c>
      <c r="T63" s="235" t="str">
        <f>""</f>
        <v/>
      </c>
      <c r="U63" s="296" t="str">
        <f ca="1">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 ca="1">IF(U59="",999,900)</f>
        <v>900</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|dh|G311716|13#624|PVH*#-*#Necarex*#EK*#2024*#pool|Ron*#van*#Deursen|ekpool@donron.nl||DD|P|##|##|1000|5000|3000|2000|||||50|20|#0|20|20|20|10|30|10|##|A10|E10|X##|BANA|</v>
      </c>
      <c r="G82" s="1068"/>
      <c r="H82" s="1068"/>
      <c r="I82" s="1068"/>
      <c r="J82" s="1068"/>
      <c r="K82" s="1068"/>
      <c r="L82" s="1068"/>
      <c r="M82" s="1068"/>
      <c r="N82" s="1063">
        <f>IF(Q81=1,LEN(F82),"")</f>
        <v>169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|dh|G311716|13#624|PVH*#-*#Necarex*#EK*#2024*#pool|Ron*#van*#Deursen|ekpool@donron.nl|</v>
      </c>
      <c r="G83" s="1074"/>
      <c r="H83" s="1074"/>
      <c r="I83" s="1074"/>
      <c r="J83" s="1074"/>
      <c r="K83" s="1074"/>
      <c r="L83" s="1074"/>
      <c r="M83" s="1074"/>
      <c r="N83" s="1063">
        <f>IF(Q81=1,RIGHT(LEFT(F82,7),2)+RIGHT(LEFT(F82,9),2)+RIGHT(LEFT(F82,11),2)+22,"")</f>
        <v>86</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|DD|P|##|##|1000|5000|3000|2000||||</v>
      </c>
      <c r="G84" s="1074"/>
      <c r="H84" s="1074"/>
      <c r="I84" s="1074"/>
      <c r="J84" s="1074"/>
      <c r="K84" s="1074"/>
      <c r="L84" s="1074"/>
      <c r="M84" s="1074"/>
      <c r="N84" s="1063">
        <f>IF(Q81=1,IF(N81&lt;1,0,N82-N83-N85),"")</f>
        <v>35</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|50|20|#0|20|20|20|10|30|10|##|A10|E10|X##|BANA|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G</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JA</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13#624</v>
      </c>
      <c r="H92" s="31">
        <f>SUBSTITUTE(LEFT(G92,2),"#","")*1</f>
        <v>13</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31</v>
      </c>
      <c r="H93" s="123" t="str">
        <f>RIGHT(LEFT($F$83,G93+N93),G93)</f>
        <v>PVH*#-*#Necarex*#EK*#2024*#pool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17</v>
      </c>
      <c r="H94" s="123" t="str">
        <f>RIGHT(LEFT($F$83,G94+N94),G94)</f>
        <v>Ron*#van*#Deursen</v>
      </c>
      <c r="I94" s="3" t="s">
        <v>154</v>
      </c>
      <c r="J94" s="3"/>
      <c r="K94" s="3"/>
      <c r="L94" s="3"/>
      <c r="M94" s="3"/>
      <c r="N94" s="1081">
        <f>G93+N93+1</f>
        <v>51</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16</v>
      </c>
      <c r="H95" s="123" t="str">
        <f>RIGHT(LEFT($F$83,G95+N95),G95)</f>
        <v>ekpool@donron.nl</v>
      </c>
      <c r="I95" s="81" t="s">
        <v>155</v>
      </c>
      <c r="J95" s="81"/>
      <c r="K95" s="81"/>
      <c r="L95" s="81"/>
      <c r="M95" s="81"/>
      <c r="N95" s="1096">
        <f>G94+N94+1</f>
        <v>69</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35</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17</v>
      </c>
      <c r="F106" s="3"/>
      <c r="G106" s="31" t="str">
        <f t="shared" ref="G106:G116" si="5">IF(OR($H$91="NEE",D106=E106),"",MID($F$84,D106+1,E106-D106-1))</f>
        <v>1000</v>
      </c>
      <c r="H106" s="33">
        <f t="shared" ref="H106:H116" si="6">IF(G106="",0,G106/100)</f>
        <v>10</v>
      </c>
      <c r="I106" s="103" t="s">
        <v>35</v>
      </c>
      <c r="J106" s="3"/>
      <c r="K106" s="122">
        <f>LARGE(K107:K116,1)</f>
        <v>0</v>
      </c>
      <c r="L106" s="365" t="str">
        <f>"= aantal decimalen"</f>
        <v>= aantal decimalen</v>
      </c>
      <c r="M106" s="31" t="str">
        <f t="shared" ref="M106:M116" si="7">"€"&amp;" "&amp;H106&amp;IF(CODE(LEFT(RIGHT(H106,2),1))=44,"0",IF(CODE(LEFT(RIGHT(H106,3),1))=44,"",",00"))</f>
        <v>€ 10,00</v>
      </c>
      <c r="N106" s="3"/>
      <c r="O106" s="73"/>
      <c r="P106" s="1088"/>
      <c r="Q106" s="386">
        <v>2</v>
      </c>
      <c r="R106" s="232" t="str">
        <f ca="1">Taal03!B36</f>
        <v>februari</v>
      </c>
      <c r="S106" s="64"/>
      <c r="T106" s="64"/>
      <c r="U106" s="65"/>
    </row>
    <row r="107" spans="2:21" hidden="1" x14ac:dyDescent="0.25">
      <c r="B107" s="101"/>
      <c r="C107" s="3"/>
      <c r="D107" s="102">
        <f t="shared" ref="D107:D116" si="8">IF(E106&gt;=$D$105,$D$105,E106)</f>
        <v>17</v>
      </c>
      <c r="E107" s="102">
        <f t="shared" si="4"/>
        <v>22</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22</v>
      </c>
      <c r="E108" s="102">
        <f t="shared" si="4"/>
        <v>27</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27</v>
      </c>
      <c r="E109" s="102">
        <f t="shared" si="4"/>
        <v>32</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32</v>
      </c>
      <c r="E110" s="102">
        <f t="shared" si="4"/>
        <v>33</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33</v>
      </c>
      <c r="E111" s="102">
        <f t="shared" si="4"/>
        <v>34</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34</v>
      </c>
      <c r="E112" s="102">
        <f t="shared" si="4"/>
        <v>35</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35</v>
      </c>
      <c r="E113" s="102">
        <f t="shared" si="4"/>
        <v>35</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35</v>
      </c>
      <c r="E114" s="102">
        <f t="shared" si="4"/>
        <v>35</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35</v>
      </c>
      <c r="E115" s="102">
        <f t="shared" si="4"/>
        <v>35</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35</v>
      </c>
      <c r="E116" s="102">
        <f t="shared" si="4"/>
        <v>35</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50</v>
      </c>
      <c r="H117" s="31">
        <f>IF(OR(G117="",G117="##"),"",IF(CODE(G117)=35,RIGHT(G117,1),G117)*1)</f>
        <v>50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20</v>
      </c>
      <c r="H118" s="31">
        <f>IF(OR(G118="",G118="##"),"",IF(CODE(G118)=35,RIGHT(G118,1),G118)*1)</f>
        <v>20</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20</v>
      </c>
      <c r="H120" s="31">
        <f>IF(OR(G120="",G120="##"),"",IF(CODE(G120)=35,RIGHT(G120,1),G120)*1)</f>
        <v>20</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20</v>
      </c>
      <c r="H121" s="31">
        <f>IF(OR(G121="",G121="##"),"",IF(CODE(G121)=35,RIGHT(G121,1),G121)*1)</f>
        <v>20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20</v>
      </c>
      <c r="H122" s="31">
        <f t="shared" ref="H122:H126" si="13">IF(OR(G122="",G122="##"),"",IF(CODE(G122)=35,RIGHT(G122,1),G122)*1)</f>
        <v>20</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10</v>
      </c>
      <c r="H123" s="619">
        <f t="shared" si="13"/>
        <v>10</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30</v>
      </c>
      <c r="H124" s="31">
        <f t="shared" si="13"/>
        <v>30</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10</v>
      </c>
      <c r="H125" s="31">
        <f t="shared" si="13"/>
        <v>10</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A</v>
      </c>
      <c r="G127" s="859" t="str">
        <f>RIGHT(LEFT($F$85,B127),3)</f>
        <v>A10</v>
      </c>
      <c r="H127" s="859">
        <f>IF(OR(G127="",G127="X##"),"",SUBSTITUTE(RIGHT(G127,2),"#",0)*1)</f>
        <v>10</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E</v>
      </c>
      <c r="G128" s="859" t="str">
        <f>RIGHT(LEFT($F$85,B128),3)</f>
        <v>E10</v>
      </c>
      <c r="H128" s="859">
        <f>IF(OR(G128="",G128="X##"),"",SUBSTITUTE(RIGHT(G128,2),"#",0)*1)</f>
        <v>10</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uu85K5OlIVexYs4/OvwgNgV03naD+xdJdNSNe5zj1yPqssPhctH1bJG1+p69NriAQuMgFRLrSsi8dIfZn8/B+Q==" saltValue="7u/VOQuvSSWpUf8wiFH1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PVH - Necarex EK 2024 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€ 10,00.</v>
      </c>
      <c r="E8" s="17"/>
      <c r="F8" s="362"/>
      <c r="G8" s="362"/>
      <c r="H8" s="362"/>
      <c r="I8" s="362"/>
      <c r="J8" s="362"/>
      <c r="K8" s="362"/>
      <c r="L8" s="362"/>
      <c r="M8" s="362"/>
      <c r="N8" s="60"/>
      <c r="O8" s="411"/>
      <c r="Q8" s="22" t="str">
        <f>IF($N$91=1,$M$98,"")</f>
        <v>€ 10,00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|dh|G311716|13#624|PVH*#-*#Necarex*#EK*#2024*#pool|Ron*#van*#Deursen|ekpool@donron.nl||DD|P|##|##|1000|5000|3000|2000|||||50|20|#0|20|20|20|10|30|10|##|A10|E10|X##|BANA|</v>
      </c>
      <c r="G92" s="1068"/>
      <c r="H92" s="1068"/>
      <c r="I92" s="1068"/>
      <c r="J92" s="1068"/>
      <c r="K92" s="1068"/>
      <c r="L92" s="1068"/>
      <c r="M92" s="1068"/>
      <c r="N92" s="1063">
        <f>Reglement!N82</f>
        <v>169</v>
      </c>
      <c r="O92" s="1064"/>
      <c r="P92" s="86">
        <f>Reglement!Q82</f>
        <v>1</v>
      </c>
      <c r="Q92" s="128" t="s">
        <v>144</v>
      </c>
      <c r="R92" s="129"/>
    </row>
    <row r="93" spans="1:18" hidden="1" x14ac:dyDescent="0.25">
      <c r="B93" s="74"/>
      <c r="C93" s="1065" t="s">
        <v>103</v>
      </c>
      <c r="D93" s="1065"/>
      <c r="E93" s="1066"/>
      <c r="F93" s="1067" t="str">
        <f>Reglement!F84</f>
        <v>|DD|P|##|##|1000|5000|3000|2000||||</v>
      </c>
      <c r="G93" s="1068"/>
      <c r="H93" s="1068"/>
      <c r="I93" s="1068"/>
      <c r="J93" s="1068"/>
      <c r="K93" s="1068"/>
      <c r="L93" s="1068"/>
      <c r="M93" s="1068"/>
      <c r="N93" s="1063">
        <f>Reglement!N84</f>
        <v>35</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1000</v>
      </c>
      <c r="H98" s="61">
        <f>Reglement!H106</f>
        <v>10</v>
      </c>
      <c r="I98" s="103" t="s">
        <v>35</v>
      </c>
      <c r="J98" s="3"/>
      <c r="K98" s="122">
        <f>LARGE(K99:K108,1)</f>
        <v>0</v>
      </c>
      <c r="L98" s="365" t="str">
        <f>"= aantal decimalen"</f>
        <v>= aantal decimalen</v>
      </c>
      <c r="M98" s="31" t="str">
        <f t="shared" ref="M98:M108" si="8">"€"&amp;" "&amp;H98&amp;IF(CODE(LEFT(RIGHT(H98,2),1))=44,"0",IF(CODE(LEFT(RIGHT(H98,3),1))=44,"",",00"))</f>
        <v>€ 10,00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N8XO0vWgfEt2RQIzTeRX3t2btjpR8yNELqWX099UYDn/4JJWFBD+7/6M0iVAzVQzwFooPFlk1Rn2BAGegutoA==" saltValue="YupG4v0ZKdP9CJE6pEomuQ=="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opLeftCell="A10" zoomScaleNormal="100" workbookViewId="0"/>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PVH - Necarex EK 2024 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t="str">
        <f>IF(LEN(AA4)&lt;10,LEN(AA4)&amp;"#",LEN(AA4))</f>
        <v>0#</v>
      </c>
      <c r="AB5" s="3"/>
      <c r="AC5" s="117" t="str">
        <f>AA7</f>
        <v>LEEG</v>
      </c>
      <c r="AD5" s="117" t="str">
        <f>IF(AC5="GOED",AA6,"FOUT")</f>
        <v>FOUT</v>
      </c>
      <c r="AE5" s="117">
        <f>LEN(AD5)</f>
        <v>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c r="G6" s="1139"/>
      <c r="H6" s="1139"/>
      <c r="I6" s="1139"/>
      <c r="J6" s="1139"/>
      <c r="K6" s="1139"/>
      <c r="L6" s="1139"/>
      <c r="M6" s="926"/>
      <c r="N6" s="1138" t="str">
        <f ca="1">Taal04!B15&amp;" :"</f>
        <v>E-mail :</v>
      </c>
      <c r="O6" s="1138"/>
      <c r="P6" s="1140"/>
      <c r="Q6" s="1141"/>
      <c r="R6" s="1141"/>
      <c r="S6" s="1141"/>
      <c r="T6" s="1141"/>
      <c r="U6" s="1141"/>
      <c r="V6" s="1141"/>
      <c r="W6" s="60"/>
      <c r="X6" s="17"/>
      <c r="Y6" s="117"/>
      <c r="Z6" s="97" t="s">
        <v>187</v>
      </c>
      <c r="AA6" s="1125" t="str">
        <f>"|"&amp;AA4&amp;AA5</f>
        <v>|0#</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LEEG</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v>
      </c>
      <c r="Z11" s="1130"/>
      <c r="AA11" s="1130"/>
      <c r="AB11" s="1130"/>
      <c r="AC11" s="1130"/>
      <c r="AD11" s="1131"/>
      <c r="AE11" s="41"/>
      <c r="AF11" s="831" t="s">
        <v>261</v>
      </c>
      <c r="AG11" s="106" t="str">
        <f>IF(TYPE(VLOOKUP(AF11,$D$25:$D$60,1,FALSE)*1)=1,VLOOKUP(AF11,$D$25:$AA$60,24,FALSE),IF(TYPE(VLOOKUP(AF11,$N$25:$N$60,1,FALSE)*1)=1,VLOOKUP(AF11,$N$25:$AD$60,17,FALSE),"ERROR"))</f>
        <v>FOUT</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FOUT</v>
      </c>
      <c r="AH12" s="171" t="str">
        <f ca="1">RIGHT(AJ10,1)&amp;1</f>
        <v>A1</v>
      </c>
      <c r="AI12" s="168">
        <f ca="1">$AU$83</f>
        <v>1</v>
      </c>
      <c r="AJ12" s="160" t="str">
        <f ca="1">VLOOKUP(AH12,Voorblad!$X$67:$Z$98,2,FALSE)</f>
        <v>Duitsland</v>
      </c>
      <c r="AK12" s="159" t="str">
        <f ca="1">VLOOKUP(AH12,Voorblad!$X$67:$Z$98,3,FALSE)</f>
        <v>DE</v>
      </c>
      <c r="AL12" s="203">
        <v>0</v>
      </c>
      <c r="AM12" s="206">
        <f>IF(ISNUMBER(J25),J25,0)</f>
        <v>0</v>
      </c>
      <c r="AN12" s="206">
        <f>IF(ISNUMBER(J27),J27,0)</f>
        <v>0</v>
      </c>
      <c r="AO12" s="206">
        <f>IF(ISNUMBER(L29),L29,0)</f>
        <v>0</v>
      </c>
      <c r="AP12" s="155">
        <f>IF(AA25&lt;&gt;"FOUT",IF(AM12&gt;AL13,3,IF(AM12=AL13,1,0)),0)+IF(AA27&lt;&gt;"FOUT",IF(AN12&gt;AL14,3,IF(AN12=AL14,1,0)),0)+IF(AA29&lt;&gt;"FOUT",IF(AO12&gt;AL15,3,IF(AO12=AL15,1,0)),0)</f>
        <v>0</v>
      </c>
      <c r="AQ12" s="158">
        <f>SUM(AL12:AO12)</f>
        <v>0</v>
      </c>
      <c r="AR12" s="157">
        <f>SUM(AL12:AL15)</f>
        <v>0</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5000003500001</v>
      </c>
      <c r="BA12" s="220">
        <f ca="1">RANK(AZ12,AZ12:AZ15)</f>
        <v>4</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FOUT</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0</v>
      </c>
      <c r="AO13" s="163">
        <f>IF(ISNUMBER(J28),J28,0)</f>
        <v>0</v>
      </c>
      <c r="AP13" s="151">
        <f>IF(AA25&lt;&gt;"FOUT",IF(AL13&gt;AM12,3,IF(AL13=AM12,1,0)),0)+IF(AA30&lt;&gt;"FOUT",IF(AN13&gt;AM14,3,IF(AN13=AM14,1,0)),0)+IF(AA28&lt;&gt;"FOUT",IF(AO13&gt;AM15,3,IF(AO13=AM15,1,0)),0)</f>
        <v>0</v>
      </c>
      <c r="AQ13" s="153">
        <f>SUM(AL13:AO13)</f>
        <v>0</v>
      </c>
      <c r="AR13" s="152">
        <f>SUM(AM12:AM15)</f>
        <v>0</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5000003500003</v>
      </c>
      <c r="BA13" s="221">
        <f ca="1">RANK(AZ13,AZ12:AZ15)</f>
        <v>2</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145</v>
      </c>
      <c r="AE14" s="41"/>
      <c r="AF14" s="831" t="s">
        <v>264</v>
      </c>
      <c r="AG14" s="106" t="str">
        <f t="shared" ca="1" si="0"/>
        <v>FOUT</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0</v>
      </c>
      <c r="AN14" s="202">
        <v>0</v>
      </c>
      <c r="AO14" s="163">
        <f>IF(ISNUMBER(J26),J26,0)</f>
        <v>0</v>
      </c>
      <c r="AP14" s="151">
        <f>IF(AA27&lt;&gt;"FOUT",IF(AL14&gt;AN12,3,IF(AL14=AN12,1,0)),0)+IF(AA30&lt;&gt;"FOUT",IF(AM14&gt;AN13,3,IF(AM14=AN13,1,0)),0)+IF(AA26&lt;&gt;"FOUT",IF(AO14&gt;AN15,3,IF(AO14=AN15,1,0)),0)</f>
        <v>0</v>
      </c>
      <c r="AQ14" s="153">
        <f>SUM(AL14:AO14)</f>
        <v>0</v>
      </c>
      <c r="AR14" s="152">
        <f>SUM(AN12:AN15)</f>
        <v>0</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5000003500002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FOUT</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0</v>
      </c>
      <c r="AN15" s="209">
        <f>IF(ISNUMBER(L26),L26,0)</f>
        <v>0</v>
      </c>
      <c r="AO15" s="210">
        <v>0</v>
      </c>
      <c r="AP15" s="145">
        <f>IF(AA29&lt;&gt;"FOUT",IF(AL15&gt;AO12,3,IF(AL15=AO12,1,0)),0)+IF(AA28&lt;&gt;"FOUT",IF(AM15&gt;AO13,3,IF(AM15=AO14,1,0)),0)+IF(AA26&lt;&gt;"FOUT",IF(AN15&gt;AO14,3,IF(AN15=AO14,1,0)),0)</f>
        <v>0</v>
      </c>
      <c r="AQ15" s="148">
        <f>SUM(AL15:AO15)</f>
        <v>0</v>
      </c>
      <c r="AR15" s="147">
        <f>SUM(AO12:AO15)</f>
        <v>0</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5000003500004</v>
      </c>
      <c r="BA15" s="222">
        <f ca="1">RANK(AZ15,AZ12:AZ15)</f>
        <v>1</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FOUT</v>
      </c>
      <c r="AE16" s="41"/>
      <c r="AF16" s="832" t="s">
        <v>267</v>
      </c>
      <c r="AG16" s="106" t="str">
        <f ca="1">IF(TYPE(VLOOKUP(AF16,$D$25:$D$60,1,FALSE)*1)=1,VLOOKUP(AF16,$D$25:$AA$60,24,FALSE),IF(TYPE(VLOOKUP(AF16,$N$25:$N$60,1,FALSE)*1)=1,VLOOKUP(AF16,$N$25:$AD$60,17,FALSE),"ERROR"))</f>
        <v>FOUT</v>
      </c>
      <c r="AH16" s="70"/>
      <c r="AI16" s="70"/>
      <c r="AJ16" s="70" t="s">
        <v>230</v>
      </c>
      <c r="AK16" s="70" t="str">
        <f>IF(COUNTIF(Y25:Z30,"GOED")=12,"JA","NEE")</f>
        <v>NEE</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FOUT</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FOUT</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0</v>
      </c>
      <c r="AA19" s="285">
        <f>IF(LEN(AA35)=3,IF(J35=L35,0,1),0)+IF(LEN(AA36)=3,IF(J36=L36,0,1),0)+IF(LEN(AA38)=3,IF(J38=L38,0,1),0)+IF(LEN(AA37)=3,IF(J37=L37,0,1),0)+IF(LEN(AA39)=3,IF(J39=L39,0,1),0)+IF(LEN(AA40)=3,IF(J40=L40,0,1),0)+IF(LEN(AD35)=3,IF(T35=V35,0,1),0)+IF(LEN(AD36)=3,IF(T36=V36,0,1),0)+IF(LEN(AD37)=3,IF(T37=V37,0,1),0)+IF(LEN(AD38)=3,IF(T38=V38,0,1),0)+IF(LEN(AD39)=3,IF(T39=V39,0,1),0)+IF(LEN(AD40)=3,IF(T40=V40,0,1),0)</f>
        <v>0</v>
      </c>
      <c r="AB19" s="285">
        <f>IF(LEN(AA45)=3,IF(J45=L45,0,1),0)+IF(LEN(AA46)=3,IF(J46=L46,0,1),0)+IF(LEN(AA47)=3,IF(J47=L47,0,1),0)+IF(LEN(AA48)=3,IF(J48=L48,0,1),0)+IF(LEN(AA49)=3,IF(J49=L49,0,1),0)+IF(LEN(AA50)=3,IF(J50=L50,0,1),0)+IF(LEN(AD45)=3,IF(T45=V45,0,1),0)+IF(LEN(AD46)=3,IF(T46=V46,0,1),0)+IF(LEN(AD48)=3,IF(T48=V48,0,1),0)+IF(LEN(AD47)=3,IF(T47=V47,0,1),0)+IF(LEN(AD49)=3,IF(T49=V49,0,1),0)+IF(LEN(AD50)=3,IF(T50=V50,0,1),0)</f>
        <v>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0</v>
      </c>
      <c r="AE19" s="284" t="s">
        <v>1905</v>
      </c>
      <c r="AF19" s="831" t="s">
        <v>2398</v>
      </c>
      <c r="AG19" s="106" t="str">
        <f t="shared" ca="1" si="0"/>
        <v>FOUT</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0</v>
      </c>
      <c r="AA20" s="285">
        <f>IF(LEN(AA35)=3,IF(J35=L35,1,0),0)+IF(LEN(AA36)=3,IF(J36=L36,1,0),0)+IF(LEN(AA38)=3,IF(J38=L38,1,0),0)+IF(LEN(AA37)=3,IF(J37=L37,1,0),0)+IF(LEN(AA39)=3,IF(J39=L39,1,0),0)+IF(LEN(AA40)=3,IF(J40=L40,1,0),0)+IF(LEN(AD35)=3,IF(T35=V35,1,0),0)+IF(LEN(AD36)=3,IF(T36=V36,1,0),0)+IF(LEN(AD37)=3,IF(T37=V37,1,0),0)+IF(LEN(AD38)=3,IF(T38=V38,1,0),0)+IF(LEN(AD39)=3,IF(T39=V39,1,0),0)+IF(LEN(AD40)=3,IF(T40=V40,1,0),0)</f>
        <v>0</v>
      </c>
      <c r="AB20" s="285">
        <f>IF(LEN(AA45)=3,IF(J45=L45,1,0),0)+IF(LEN(AA46)=3,IF(J46=L46,1,0),0)+IF(LEN(AA47)=3,IF(J47=L47,1,0),0)+IF(LEN(AA48)=3,IF(J48=L48,1,0),0)+IF(LEN(AA49)=3,IF(J49=L49,1,0),0)+IF(LEN(AA50)=3,IF(J50=L50,1,0),0)+IF(LEN(AD45)=3,IF(T45=V45,1,0),0)+IF(LEN(AD46)=3,IF(T46=V46,1,0),0)+IF(LEN(AD48)=3,IF(T48=V48,1,0),0)+IF(LEN(AD47)=3,IF(T47=V47,1,0),0)+IF(LEN(AD49)=3,IF(T49=V49,1,0),0)+IF(LEN(AD50)=3,IF(T50=V50,1,0),0)</f>
        <v>0</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0</v>
      </c>
      <c r="AE20" s="284" t="s">
        <v>1906</v>
      </c>
      <c r="AF20" s="831" t="s">
        <v>268</v>
      </c>
      <c r="AG20" s="106" t="str">
        <f t="shared" ca="1" si="0"/>
        <v>FOUT</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FOUT</v>
      </c>
      <c r="AH21" s="171" t="str">
        <f ca="1">RIGHT(AJ19,1)&amp;1</f>
        <v>B1</v>
      </c>
      <c r="AI21" s="168">
        <f ca="1">$AU$84</f>
        <v>4</v>
      </c>
      <c r="AJ21" s="160" t="str">
        <f ca="1">VLOOKUP(AH21,Voorblad!$X$67:$Z$98,2,FALSE)</f>
        <v>Spanje</v>
      </c>
      <c r="AK21" s="159" t="str">
        <f ca="1">VLOOKUP(AH21,Voorblad!$X$67:$Z$98,3,FALSE)</f>
        <v>ES</v>
      </c>
      <c r="AL21" s="203">
        <v>0</v>
      </c>
      <c r="AM21" s="206">
        <f>IF(ISNUMBER(T25),T25,0)</f>
        <v>0</v>
      </c>
      <c r="AN21" s="206">
        <f>IF(ISNUMBER(T28),T28,0)</f>
        <v>0</v>
      </c>
      <c r="AO21" s="206">
        <f>IF(ISNUMBER(V29),V29,0)</f>
        <v>0</v>
      </c>
      <c r="AP21" s="155">
        <f>IF(AD25&lt;&gt;"FOUT",IF(AM21&gt;AL22,3,IF(AM21=AL22,1,0)),0)+IF(AD28&lt;&gt;"FOUT",IF(AN21&gt;AL23,3,IF(AN21=AL23,1,0)),0)+IF(AD29&lt;&gt;"FOUT",IF(AO21&gt;AL24,3,IF(AO21=AL24,1,0)),0)</f>
        <v>0</v>
      </c>
      <c r="AQ21" s="158">
        <f>SUM(AL21:AO21)</f>
        <v>0</v>
      </c>
      <c r="AR21" s="157">
        <f>SUM(AL21:AL24)</f>
        <v>0</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5000003500004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0</v>
      </c>
      <c r="AF22" s="251">
        <v>12</v>
      </c>
      <c r="AG22" s="106" t="str">
        <f t="shared" ca="1" si="0"/>
        <v>FOUT</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0</v>
      </c>
      <c r="AO22" s="163">
        <f>IF(ISNUMBER(T27),T27,0)</f>
        <v>0</v>
      </c>
      <c r="AP22" s="151">
        <f>IF(AD25&lt;&gt;"FOUT",IF(AL22&gt;AM21,3,IF(AL22=AM21,1,0)),0)+IF(AD30&lt;&gt;"FOUT",IF(AN22&gt;AM23,3,IF(AN22=AM23,1,0)),0)+IF(AD27&lt;&gt;"FOUT",IF(AO22&gt;AM24,3,IF(AO22=AM24,1,0)),0)</f>
        <v>0</v>
      </c>
      <c r="AQ22" s="153">
        <f>SUM(AL22:AO22)</f>
        <v>0</v>
      </c>
      <c r="AR22" s="152">
        <f>SUM(AM21:AM24)</f>
        <v>0</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5000003500003</v>
      </c>
      <c r="BA22" s="215">
        <f ca="1">RANK(AZ22,AZ21:AZ24)</f>
        <v>2</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FOUT</v>
      </c>
      <c r="AH23" s="171" t="str">
        <f ca="1">RIGHT(AJ19,1)&amp;3</f>
        <v>B3</v>
      </c>
      <c r="AI23" s="168">
        <f ca="1">$AW$84</f>
        <v>2</v>
      </c>
      <c r="AJ23" s="154" t="str">
        <f ca="1">VLOOKUP(AH23,Voorblad!$X$67:$Z$98,2,FALSE)</f>
        <v>Italië</v>
      </c>
      <c r="AK23" s="110" t="str">
        <f ca="1">VLOOKUP(AH23,Voorblad!$X$67:$Z$98,3,FALSE)</f>
        <v>IT</v>
      </c>
      <c r="AL23" s="207">
        <f>IF(ISNUMBER(V28),V28,0)</f>
        <v>0</v>
      </c>
      <c r="AM23" s="163">
        <f>IF(ISNUMBER(V30),V30,0)</f>
        <v>0</v>
      </c>
      <c r="AN23" s="202">
        <v>0</v>
      </c>
      <c r="AO23" s="163">
        <f>IF(ISNUMBER(T26),T26,0)</f>
        <v>0</v>
      </c>
      <c r="AP23" s="151">
        <f>IF(AD28&lt;&gt;"FOUT",IF(AL23&gt;AN21,3,IF(AL23=AN21,1,0)),0)+IF(AD30&lt;&gt;"FOUT",IF(AM23&gt;AN22,3,IF(AM23=AN22,1,0)),0)+IF(AD26&lt;&gt;"FOUT",IF(AO23&gt;AN24,3,IF(AO23=AN24,1,0)),0)</f>
        <v>0</v>
      </c>
      <c r="AQ23" s="153">
        <f>SUM(AL23:AO23)</f>
        <v>0</v>
      </c>
      <c r="AR23" s="152">
        <f>SUM(AN21:AN24)</f>
        <v>0</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5000003500002</v>
      </c>
      <c r="BA23" s="215">
        <f ca="1">RANK(AZ23,AZ21:AZ24)</f>
        <v>3</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FOUT</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0</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5000003500001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c r="K25" s="54" t="s">
        <v>12</v>
      </c>
      <c r="L25" s="353"/>
      <c r="M25" s="9"/>
      <c r="N25" s="6" t="str">
        <f>"03"</f>
        <v>03</v>
      </c>
      <c r="O25" s="11">
        <f>DATE(2024,6,15)+TIME(18,0,0)</f>
        <v>45458.75</v>
      </c>
      <c r="P25" s="134">
        <f t="shared" ref="P25:P30" si="2">O25+TIME(0,0,0)</f>
        <v>45458.75</v>
      </c>
      <c r="Q25" s="8" t="str">
        <f ca="1">AJ21</f>
        <v>Spanje</v>
      </c>
      <c r="R25" s="7" t="s">
        <v>12</v>
      </c>
      <c r="S25" s="327" t="str">
        <f ca="1">AJ22</f>
        <v>Kroatië</v>
      </c>
      <c r="T25" s="353"/>
      <c r="U25" s="54" t="s">
        <v>12</v>
      </c>
      <c r="V25" s="353"/>
      <c r="W25" s="60"/>
      <c r="X25" s="17"/>
      <c r="Y25" s="4" t="str">
        <f t="shared" ref="Y25:Y30" si="3">IF(ISBLANK(J25),"LEEG",IF(TYPE(J25)=1,IF(AND(J25&lt;10,J25&gt;=0),IF(J25=ROUND(J25,0),"GOED","ONGELDIG"),"HOOG"),"ONGELDIG"))</f>
        <v>LEEG</v>
      </c>
      <c r="Z25" s="4" t="str">
        <f t="shared" ref="Z25:Z30" si="4">IF(ISBLANK(L25),"LEEG",IF(TYPE(L25)=1,IF(AND(L25&lt;10,L25&gt;=0),IF(L25=ROUND(L25,0),"GOED","ONGELDIG"),"HOOG"),"ONGELDIG"))</f>
        <v>LEEG</v>
      </c>
      <c r="AA25" s="138" t="str">
        <f t="shared" ref="AA25:AA30" si="5">IF(Y25="GOED",IF(Z25="GOED",J25&amp;L25&amp;"|","FOUT"),"FOUT")</f>
        <v>FOUT</v>
      </c>
      <c r="AB25" s="4" t="str">
        <f t="shared" ref="AB25:AB30" si="6">IF(ISBLANK(T25),"LEEG",IF(TYPE(T25)=1,IF(AND(T25&lt;10,T25&gt;=0),IF(T25=ROUND(T25,0),"GOED","ONGELDIG"),"HOOG"),"ONGELDIG"))</f>
        <v>LEEG</v>
      </c>
      <c r="AC25" s="4" t="str">
        <f t="shared" ref="AC25:AC30" si="7">IF(ISBLANK(V25),"LEEG",IF(TYPE(V25)=1,IF(AND(V25&lt;10,V25&gt;=0),IF(V25=ROUND(V25,0),"GOED","ONGELDIG"),"HOOG"),"ONGELDIG"))</f>
        <v>LEEG</v>
      </c>
      <c r="AD25" s="138" t="str">
        <f t="shared" ref="AD25:AD30" si="8">IF(AB25="GOED",IF(AC25="GOED",T25&amp;V25&amp;"|","FOUT"),"FOUT")</f>
        <v>FOUT</v>
      </c>
      <c r="AE25" s="285">
        <f t="shared" ref="AE25:AE30" si="9">IF(AND(Y25="GOED",Z25="GOED",AB25="GOED",AB25="GOED"),IF(J25+L25&gt;T25+V25,J25+L25,T25+V25),IF(AND(Y25="GOED",Z25="GOED"),J25+L25,IF(AND(AB25="GOED",AB25="GOED"),T25+V25,0)))</f>
        <v>0</v>
      </c>
      <c r="AF25" s="251">
        <v>13</v>
      </c>
      <c r="AG25" s="106" t="str">
        <f t="shared" si="0"/>
        <v>FOUT</v>
      </c>
      <c r="AH25" s="70"/>
      <c r="AI25" s="70"/>
      <c r="AJ25" s="70" t="s">
        <v>230</v>
      </c>
      <c r="AK25" s="70" t="str">
        <f>IF(COUNTIF(AB25:AC30,"GOED")=12,"JA","NEE")</f>
        <v>NEE</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c r="K26" s="54" t="s">
        <v>12</v>
      </c>
      <c r="L26" s="353"/>
      <c r="M26" s="9"/>
      <c r="N26" s="6" t="str">
        <f>"04"</f>
        <v>04</v>
      </c>
      <c r="O26" s="11">
        <f>DATE(2024,6,15)+TIME(21,0,0)</f>
        <v>45458.875</v>
      </c>
      <c r="P26" s="134">
        <f t="shared" si="2"/>
        <v>45458.875</v>
      </c>
      <c r="Q26" s="8" t="str">
        <f ca="1">AJ23</f>
        <v>Italië</v>
      </c>
      <c r="R26" s="7" t="s">
        <v>12</v>
      </c>
      <c r="S26" s="327" t="str">
        <f ca="1">AJ24</f>
        <v>Albanië</v>
      </c>
      <c r="T26" s="353"/>
      <c r="U26" s="54" t="s">
        <v>12</v>
      </c>
      <c r="V26" s="353"/>
      <c r="W26" s="60"/>
      <c r="X26" s="17"/>
      <c r="Y26" s="4" t="str">
        <f t="shared" si="3"/>
        <v>LEEG</v>
      </c>
      <c r="Z26" s="4" t="str">
        <f t="shared" si="4"/>
        <v>LEEG</v>
      </c>
      <c r="AA26" s="138" t="str">
        <f t="shared" si="5"/>
        <v>FOUT</v>
      </c>
      <c r="AB26" s="4" t="str">
        <f t="shared" si="6"/>
        <v>LEEG</v>
      </c>
      <c r="AC26" s="4" t="str">
        <f t="shared" si="7"/>
        <v>LEEG</v>
      </c>
      <c r="AD26" s="138" t="str">
        <f t="shared" si="8"/>
        <v>FOUT</v>
      </c>
      <c r="AE26" s="285">
        <f t="shared" si="9"/>
        <v>0</v>
      </c>
      <c r="AF26" s="251">
        <v>18</v>
      </c>
      <c r="AG26" s="106" t="str">
        <f t="shared" ca="1" si="0"/>
        <v>FOUT</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c r="K27" s="54" t="s">
        <v>12</v>
      </c>
      <c r="L27" s="353"/>
      <c r="M27" s="9"/>
      <c r="N27" s="6">
        <v>15</v>
      </c>
      <c r="O27" s="11">
        <f>DATE(2024,6,19)+TIME(15,0,0)</f>
        <v>45462.625</v>
      </c>
      <c r="P27" s="134">
        <f t="shared" si="2"/>
        <v>45462.625</v>
      </c>
      <c r="Q27" s="440" t="str">
        <f ca="1">AJ22</f>
        <v>Kroatië</v>
      </c>
      <c r="R27" s="441" t="s">
        <v>12</v>
      </c>
      <c r="S27" s="442" t="str">
        <f ca="1">AJ24</f>
        <v>Albanië</v>
      </c>
      <c r="T27" s="353"/>
      <c r="U27" s="54" t="s">
        <v>12</v>
      </c>
      <c r="V27" s="353"/>
      <c r="W27" s="60"/>
      <c r="X27" s="17"/>
      <c r="Y27" s="4" t="str">
        <f t="shared" si="3"/>
        <v>LEEG</v>
      </c>
      <c r="Z27" s="4" t="str">
        <f t="shared" si="4"/>
        <v>LEEG</v>
      </c>
      <c r="AA27" s="138" t="str">
        <f t="shared" si="5"/>
        <v>FOUT</v>
      </c>
      <c r="AB27" s="4" t="str">
        <f t="shared" si="6"/>
        <v>LEEG</v>
      </c>
      <c r="AC27" s="4" t="str">
        <f t="shared" si="7"/>
        <v>LEEG</v>
      </c>
      <c r="AD27" s="138" t="str">
        <f t="shared" si="8"/>
        <v>FOUT</v>
      </c>
      <c r="AE27" s="285">
        <f t="shared" si="9"/>
        <v>0</v>
      </c>
      <c r="AF27" s="251">
        <v>17</v>
      </c>
      <c r="AG27" s="106" t="str">
        <f t="shared" ca="1" si="0"/>
        <v>FOUT</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c r="K28" s="54" t="s">
        <v>12</v>
      </c>
      <c r="L28" s="353"/>
      <c r="M28" s="9"/>
      <c r="N28" s="6">
        <v>16</v>
      </c>
      <c r="O28" s="11">
        <f>DATE(2024,6,20)+TIME(21,0,0)</f>
        <v>45463.875</v>
      </c>
      <c r="P28" s="134">
        <f t="shared" si="2"/>
        <v>45463.875</v>
      </c>
      <c r="Q28" s="8" t="str">
        <f ca="1">AJ21</f>
        <v>Spanje</v>
      </c>
      <c r="R28" s="7" t="s">
        <v>12</v>
      </c>
      <c r="S28" s="327" t="str">
        <f ca="1">AJ23</f>
        <v>Italië</v>
      </c>
      <c r="T28" s="353"/>
      <c r="U28" s="54" t="s">
        <v>12</v>
      </c>
      <c r="V28" s="353"/>
      <c r="W28" s="60"/>
      <c r="X28" s="17"/>
      <c r="Y28" s="4" t="str">
        <f t="shared" si="3"/>
        <v>LEEG</v>
      </c>
      <c r="Z28" s="4" t="str">
        <f t="shared" si="4"/>
        <v>LEEG</v>
      </c>
      <c r="AA28" s="138" t="str">
        <f t="shared" si="5"/>
        <v>FOUT</v>
      </c>
      <c r="AB28" s="4" t="str">
        <f t="shared" si="6"/>
        <v>LEEG</v>
      </c>
      <c r="AC28" s="4" t="str">
        <f t="shared" si="7"/>
        <v>LEEG</v>
      </c>
      <c r="AD28" s="138" t="str">
        <f t="shared" si="8"/>
        <v>FOUT</v>
      </c>
      <c r="AE28" s="285">
        <f t="shared" si="9"/>
        <v>0</v>
      </c>
      <c r="AF28" s="251">
        <v>16</v>
      </c>
      <c r="AG28" s="106" t="str">
        <f t="shared" ca="1" si="0"/>
        <v>FOUT</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c r="K29" s="54" t="s">
        <v>12</v>
      </c>
      <c r="L29" s="353"/>
      <c r="M29" s="9"/>
      <c r="N29" s="6">
        <v>27</v>
      </c>
      <c r="O29" s="11">
        <f>DATE(2024,6,24)+TIME(21,0,0)</f>
        <v>45467.875</v>
      </c>
      <c r="P29" s="134">
        <f t="shared" si="2"/>
        <v>45467.875</v>
      </c>
      <c r="Q29" s="8" t="str">
        <f ca="1">AJ24</f>
        <v>Albanië</v>
      </c>
      <c r="R29" s="7" t="s">
        <v>12</v>
      </c>
      <c r="S29" s="327" t="str">
        <f ca="1">AJ21</f>
        <v>Spanje</v>
      </c>
      <c r="T29" s="353"/>
      <c r="U29" s="54" t="s">
        <v>12</v>
      </c>
      <c r="V29" s="353"/>
      <c r="W29" s="60"/>
      <c r="X29" s="17"/>
      <c r="Y29" s="4" t="str">
        <f t="shared" si="3"/>
        <v>LEEG</v>
      </c>
      <c r="Z29" s="4" t="str">
        <f t="shared" si="4"/>
        <v>LEEG</v>
      </c>
      <c r="AA29" s="138" t="str">
        <f t="shared" si="5"/>
        <v>FOUT</v>
      </c>
      <c r="AB29" s="4" t="str">
        <f t="shared" si="6"/>
        <v>LEEG</v>
      </c>
      <c r="AC29" s="4" t="str">
        <f t="shared" si="7"/>
        <v>LEEG</v>
      </c>
      <c r="AD29" s="138" t="str">
        <f t="shared" si="8"/>
        <v>FOUT</v>
      </c>
      <c r="AE29" s="285">
        <f t="shared" si="9"/>
        <v>0</v>
      </c>
      <c r="AF29" s="106">
        <v>21</v>
      </c>
      <c r="AG29" s="106" t="str">
        <f t="shared" ca="1" si="0"/>
        <v>FOUT</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c r="K30" s="54" t="s">
        <v>12</v>
      </c>
      <c r="L30" s="353"/>
      <c r="M30" s="9"/>
      <c r="N30" s="6">
        <v>28</v>
      </c>
      <c r="O30" s="11">
        <f>O29</f>
        <v>45467.875</v>
      </c>
      <c r="P30" s="134">
        <f t="shared" si="2"/>
        <v>45467.875</v>
      </c>
      <c r="Q30" s="8" t="str">
        <f ca="1">AJ22</f>
        <v>Kroatië</v>
      </c>
      <c r="R30" s="7" t="s">
        <v>12</v>
      </c>
      <c r="S30" s="327" t="str">
        <f ca="1">AJ23</f>
        <v>Italië</v>
      </c>
      <c r="T30" s="353"/>
      <c r="U30" s="54" t="s">
        <v>12</v>
      </c>
      <c r="V30" s="353"/>
      <c r="W30" s="60"/>
      <c r="X30" s="17"/>
      <c r="Y30" s="4" t="str">
        <f t="shared" si="3"/>
        <v>LEEG</v>
      </c>
      <c r="Z30" s="4" t="str">
        <f t="shared" si="4"/>
        <v>LEEG</v>
      </c>
      <c r="AA30" s="138" t="str">
        <f t="shared" si="5"/>
        <v>FOUT</v>
      </c>
      <c r="AB30" s="4" t="str">
        <f t="shared" si="6"/>
        <v>LEEG</v>
      </c>
      <c r="AC30" s="4" t="str">
        <f t="shared" si="7"/>
        <v>LEEG</v>
      </c>
      <c r="AD30" s="138" t="str">
        <f t="shared" si="8"/>
        <v>FOUT</v>
      </c>
      <c r="AE30" s="285">
        <f t="shared" si="9"/>
        <v>0</v>
      </c>
      <c r="AF30" s="106">
        <v>19</v>
      </c>
      <c r="AG30" s="106" t="str">
        <f t="shared" ca="1" si="0"/>
        <v>FOUT</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0</v>
      </c>
      <c r="AO30" s="206">
        <f>IF(ISNUMBER(L39),L39,0)</f>
        <v>0</v>
      </c>
      <c r="AP30" s="155">
        <f>IF(AA35&lt;&gt;"FOUT",IF(AM30&gt;AL31,3,IF(AM30=AL31,1,0)),0)+IF(AA37&lt;&gt;"FOUT",IF(AN30&gt;AL32,3,IF(AN30=AL32,1,0)),0)+IF(AA39&lt;&gt;"FOUT",IF(AO30&gt;AL33,3,IF(AO30=AL33,1,0)),0)</f>
        <v>0</v>
      </c>
      <c r="AQ30" s="158">
        <f>SUM(AL30:AO30)</f>
        <v>0</v>
      </c>
      <c r="AR30" s="157">
        <f>SUM(AL30:AL33)</f>
        <v>0</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5000003500004</v>
      </c>
      <c r="BA30" s="214">
        <f ca="1">RANK(AZ30,AZ30:AZ33)</f>
        <v>1</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FOUT</v>
      </c>
      <c r="AH31" s="171" t="str">
        <f ca="1">RIGHT(AJ28,1)&amp;2</f>
        <v>C2</v>
      </c>
      <c r="AI31" s="168">
        <f ca="1">$AV$85</f>
        <v>1</v>
      </c>
      <c r="AJ31" s="154" t="str">
        <f ca="1">VLOOKUP(AH31,Voorblad!$X$67:$Z$98,2,FALSE)</f>
        <v>Denemarken</v>
      </c>
      <c r="AK31" s="110" t="str">
        <f ca="1">VLOOKUP(AH31,Voorblad!$X$67:$Z$98,3,FALSE)</f>
        <v>DK</v>
      </c>
      <c r="AL31" s="207">
        <f>IF(ISNUMBER(L35),L35,0)</f>
        <v>0</v>
      </c>
      <c r="AM31" s="202">
        <v>0</v>
      </c>
      <c r="AN31" s="163">
        <f>IF(ISNUMBER(J40),J40,0)</f>
        <v>0</v>
      </c>
      <c r="AO31" s="163">
        <f>IF(ISNUMBER(L38),L38,0)</f>
        <v>0</v>
      </c>
      <c r="AP31" s="151">
        <f>IF(AA35&lt;&gt;"FOUT",IF(AL31&gt;AM30,3,IF(AL31=AM30,1,0)),0)+IF(AA40&lt;&gt;"FOUT",IF(AN31&gt;AM32,3,IF(AN31=AM32,1,0)),0)+IF(AA38&lt;&gt;"FOUT",IF(AO31&gt;AM33,3,IF(AO31=AM33,1,0)),0)</f>
        <v>0</v>
      </c>
      <c r="AQ31" s="153">
        <f>SUM(AL31:AO31)</f>
        <v>0</v>
      </c>
      <c r="AR31" s="152">
        <f>SUM(AM30:AM33)</f>
        <v>0</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5000003500001</v>
      </c>
      <c r="BA31" s="215">
        <f ca="1">RANK(AZ31,AZ30:AZ33)</f>
        <v>4</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FOUT</v>
      </c>
      <c r="AH32" s="171" t="str">
        <f ca="1">RIGHT(AJ28,1)&amp;3</f>
        <v>C3</v>
      </c>
      <c r="AI32" s="168">
        <f ca="1">$AW$85</f>
        <v>3</v>
      </c>
      <c r="AJ32" s="154" t="str">
        <f ca="1">VLOOKUP(AH32,Voorblad!$X$67:$Z$98,2,FALSE)</f>
        <v>Servië</v>
      </c>
      <c r="AK32" s="110" t="str">
        <f ca="1">VLOOKUP(AH32,Voorblad!$X$67:$Z$98,3,FALSE)</f>
        <v>RS</v>
      </c>
      <c r="AL32" s="207">
        <f>IF(ISNUMBER(L37),L37,0)</f>
        <v>0</v>
      </c>
      <c r="AM32" s="163">
        <f>IF(ISNUMBER(L40),L40,0)</f>
        <v>0</v>
      </c>
      <c r="AN32" s="202">
        <v>0</v>
      </c>
      <c r="AO32" s="163">
        <f>IF(ISNUMBER(J36),J36,0)</f>
        <v>0</v>
      </c>
      <c r="AP32" s="151">
        <f>IF(AA37&lt;&gt;"FOUT",IF(AL32&gt;AN30,3,IF(AL32=AN30,1,0)),0)+IF(AA40&lt;&gt;"FOUT",IF(AM32&gt;AN31,3,IF(AM32=AN31,1,0)),0)+IF(AA36&lt;&gt;"FOUT",IF(AO32&gt;AN33,3,IF(AO32=AN33,1,0)),0)</f>
        <v>0</v>
      </c>
      <c r="AQ32" s="153">
        <f>SUM(AL32:AO32)</f>
        <v>0</v>
      </c>
      <c r="AR32" s="152">
        <f>SUM(AN30:AN33)</f>
        <v>0</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5000003500003</v>
      </c>
      <c r="BA32" s="215">
        <f ca="1">RANK(AZ32,AZ30:AZ33)</f>
        <v>2</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FOUT</v>
      </c>
      <c r="AH33" s="171" t="str">
        <f ca="1">RIGHT(AJ28,1)&amp;4</f>
        <v>C4</v>
      </c>
      <c r="AI33" s="168">
        <f ca="1">$AX$85</f>
        <v>2</v>
      </c>
      <c r="AJ33" s="150" t="str">
        <f ca="1">VLOOKUP(AH33,Voorblad!$X$67:$Z$98,2,FALSE)</f>
        <v>Engeland</v>
      </c>
      <c r="AK33" s="149" t="str">
        <f ca="1">VLOOKUP(AH33,Voorblad!$X$67:$Z$98,3,FALSE)</f>
        <v>GB</v>
      </c>
      <c r="AL33" s="208">
        <f>IF(ISNUMBER(J39),J39,0)</f>
        <v>0</v>
      </c>
      <c r="AM33" s="209">
        <f>IF(ISNUMBER(J38),J38,0)</f>
        <v>0</v>
      </c>
      <c r="AN33" s="209">
        <f>IF(ISNUMBER(L36),L36,0)</f>
        <v>0</v>
      </c>
      <c r="AO33" s="210">
        <v>0</v>
      </c>
      <c r="AP33" s="428">
        <f>IF(AA39&lt;&gt;"FOUT",IF(AL33&gt;AO30,3,IF(AL33=AO30,1,0)),0)+IF(AA38&lt;&gt;"FOUT",IF(AM33&gt;AO31,3,IF(AM33=AO31,1,0)),0)+IF(AA36&lt;&gt;"FOUT",IF(AN33&gt;AO32,3,IF(AN33=AO32,1,0)),0)</f>
        <v>0</v>
      </c>
      <c r="AQ33" s="148">
        <f>SUM(AL33:AO33)</f>
        <v>0</v>
      </c>
      <c r="AR33" s="147">
        <f>SUM(AO30:AO33)</f>
        <v>0</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5000003500002</v>
      </c>
      <c r="BA33" s="216">
        <f ca="1">RANK(AZ33,AZ30:AZ33)</f>
        <v>3</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FOUT</v>
      </c>
      <c r="AH34" s="70"/>
      <c r="AI34" s="70"/>
      <c r="AJ34" s="70" t="s">
        <v>230</v>
      </c>
      <c r="AK34" s="70" t="str">
        <f>IF(COUNTIF(Y35:Z40,"GOED")=12,"JA","NEE")</f>
        <v>NEE</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c r="K35" s="54" t="s">
        <v>12</v>
      </c>
      <c r="L35" s="353"/>
      <c r="M35" s="9"/>
      <c r="N35" s="6" t="str">
        <f>"07"</f>
        <v>07</v>
      </c>
      <c r="O35" s="11">
        <f>DATE(2024,6,16)+TIME(15,0,0)</f>
        <v>45459.625</v>
      </c>
      <c r="P35" s="134">
        <f t="shared" ref="P35:P40" si="11">O35+TIME(0,0,0)</f>
        <v>45459.625</v>
      </c>
      <c r="Q35" s="440" t="str">
        <f ca="1">AJ39</f>
        <v>Polen</v>
      </c>
      <c r="R35" s="441" t="s">
        <v>12</v>
      </c>
      <c r="S35" s="442" t="str">
        <f ca="1">AJ40</f>
        <v>Nederland</v>
      </c>
      <c r="T35" s="353"/>
      <c r="U35" s="54" t="s">
        <v>12</v>
      </c>
      <c r="V35" s="353"/>
      <c r="W35" s="60"/>
      <c r="X35" s="17"/>
      <c r="Y35" s="4" t="str">
        <f>IF(ISBLANK(J35),"LEEG",IF(TYPE(J35)=1,IF(AND(J35&lt;10,J35&gt;=0),IF(J35=ROUND(J35,0),"GOED","ONGELDIG"),"HOOG"),"ONGELDIG"))</f>
        <v>LEEG</v>
      </c>
      <c r="Z35" s="4" t="str">
        <f>IF(ISBLANK(L35),"LEEG",IF(TYPE(L35)=1,IF(AND(L35&lt;10,L35&gt;=0),IF(L35=ROUND(L35,0),"GOED","ONGELDIG"),"HOOG"),"ONGELDIG"))</f>
        <v>LEEG</v>
      </c>
      <c r="AA35" s="138" t="str">
        <f>IF(Y35="GOED",IF(Z35="GOED",J35&amp;L35&amp;"|","FOUT"),"FOUT")</f>
        <v>FOUT</v>
      </c>
      <c r="AB35" s="4" t="str">
        <f t="shared" ref="AB35:AB40" si="12">IF(ISBLANK(T35),"LEEG",IF(TYPE(T35)=1,IF(AND(T35&lt;10,T35&gt;=0),IF(T35=ROUND(T35,0),"GOED","ONGELDIG"),"HOOG"),"ONGELDIG"))</f>
        <v>LEEG</v>
      </c>
      <c r="AC35" s="4" t="str">
        <f t="shared" ref="AC35:AC40" si="13">IF(ISBLANK(V35),"LEEG",IF(TYPE(V35)=1,IF(AND(V35&lt;10,V35&gt;=0),IF(V35=ROUND(V35,0),"GOED","ONGELDIG"),"HOOG"),"ONGELDIG"))</f>
        <v>LEEG</v>
      </c>
      <c r="AD35" s="138" t="str">
        <f t="shared" ref="AD35:AD40" si="14">IF(AB35="GOED",IF(AC35="GOED",T35&amp;V35&amp;"|","FOUT"),"FOUT")</f>
        <v>FOUT</v>
      </c>
      <c r="AE35" s="285">
        <f t="shared" ref="AE35:AE40" si="15">IF(AND(Y35="GOED",Z35="GOED",AB35="GOED",AB35="GOED"),IF(J35+L35&gt;T35+V35,J35+L35,T35+V35),IF(AND(Y35="GOED",Z35="GOED"),J35+L35,IF(AND(AB35="GOED",AB35="GOED"),T35+V35,0)))</f>
        <v>0</v>
      </c>
      <c r="AF35" s="251">
        <v>25</v>
      </c>
      <c r="AG35" s="106" t="str">
        <f t="shared" si="0"/>
        <v>FOUT</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c r="K36" s="54" t="s">
        <v>12</v>
      </c>
      <c r="L36" s="353"/>
      <c r="M36" s="9"/>
      <c r="N36" s="438" t="str">
        <f>"08"</f>
        <v>08</v>
      </c>
      <c r="O36" s="436">
        <f>DATE(2024,6,17)+TIME(21,0,0)</f>
        <v>45460.875</v>
      </c>
      <c r="P36" s="437">
        <f t="shared" si="11"/>
        <v>45460.875</v>
      </c>
      <c r="Q36" s="440" t="str">
        <f ca="1">AJ41</f>
        <v>Oostenrijk</v>
      </c>
      <c r="R36" s="441" t="s">
        <v>12</v>
      </c>
      <c r="S36" s="442" t="str">
        <f ca="1">AJ42</f>
        <v>Frankrijk</v>
      </c>
      <c r="T36" s="353"/>
      <c r="U36" s="54" t="s">
        <v>12</v>
      </c>
      <c r="V36" s="353"/>
      <c r="W36" s="60"/>
      <c r="X36" s="17"/>
      <c r="Y36" s="4" t="str">
        <f>IF(ISBLANK(J36),"LEEG",IF(TYPE(J36)=1,IF(AND(J36&lt;10,J36&gt;=0),IF(J36=ROUND(J36,0),"GOED","ONGELDIG"),"HOOG"),"ONGELDIG"))</f>
        <v>LEEG</v>
      </c>
      <c r="Z36" s="4" t="str">
        <f>IF(ISBLANK(L36),"LEEG",IF(TYPE(L36)=1,IF(AND(L36&lt;10,L36&gt;=0),IF(L36=ROUND(L36,0),"GOED","ONGELDIG"),"HOOG"),"ONGELDIG"))</f>
        <v>LEEG</v>
      </c>
      <c r="AA36" s="138" t="str">
        <f>IF(Y36="GOED",IF(Z36="GOED",J36&amp;L36&amp;"|","FOUT"),"FOUT")</f>
        <v>FOUT</v>
      </c>
      <c r="AB36" s="4" t="str">
        <f t="shared" si="12"/>
        <v>LEEG</v>
      </c>
      <c r="AC36" s="4" t="str">
        <f t="shared" si="13"/>
        <v>LEEG</v>
      </c>
      <c r="AD36" s="138" t="str">
        <f t="shared" si="14"/>
        <v>FOUT</v>
      </c>
      <c r="AE36" s="285">
        <f t="shared" si="15"/>
        <v>0</v>
      </c>
      <c r="AF36" s="251">
        <v>26</v>
      </c>
      <c r="AG36" s="106" t="str">
        <f t="shared" si="0"/>
        <v>FOUT</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c r="K37" s="54" t="s">
        <v>12</v>
      </c>
      <c r="L37" s="353"/>
      <c r="M37" s="9"/>
      <c r="N37" s="6">
        <v>19</v>
      </c>
      <c r="O37" s="11">
        <f>DATE(2024,6,21)+TIME(18,0,0)</f>
        <v>45464.75</v>
      </c>
      <c r="P37" s="134">
        <f t="shared" si="11"/>
        <v>45464.75</v>
      </c>
      <c r="Q37" s="440" t="str">
        <f ca="1">AJ39</f>
        <v>Polen</v>
      </c>
      <c r="R37" s="441" t="s">
        <v>12</v>
      </c>
      <c r="S37" s="442" t="str">
        <f ca="1">AJ41</f>
        <v>Oostenrijk</v>
      </c>
      <c r="T37" s="353"/>
      <c r="U37" s="54" t="s">
        <v>12</v>
      </c>
      <c r="V37" s="353"/>
      <c r="W37" s="60"/>
      <c r="X37" s="17"/>
      <c r="Y37" s="4" t="str">
        <f>IF(ISBLANK(J37),"LEEG",IF(TYPE(J37)=1,IF(AND(J37&lt;10,J37&gt;=0),IF(J37=ROUND(J37,0),"GOED","ONGELDIG"),"HOOG"),"ONGELDIG"))</f>
        <v>LEEG</v>
      </c>
      <c r="Z37" s="4" t="str">
        <f>IF(ISBLANK(L37),"LEEG",IF(TYPE(L37)=1,IF(AND(L37&lt;10,L37&gt;=0),IF(L37=ROUND(L37,0),"GOED","ONGELDIG"),"HOOG"),"ONGELDIG"))</f>
        <v>LEEG</v>
      </c>
      <c r="AA37" s="138" t="str">
        <f>IF(Y37="GOED",IF(Z37="GOED",J37&amp;L37&amp;"|","FOUT"),"FOUT")</f>
        <v>FOUT</v>
      </c>
      <c r="AB37" s="4" t="str">
        <f t="shared" si="12"/>
        <v>LEEG</v>
      </c>
      <c r="AC37" s="4" t="str">
        <f t="shared" si="13"/>
        <v>LEEG</v>
      </c>
      <c r="AD37" s="138" t="str">
        <f t="shared" si="14"/>
        <v>FOUT</v>
      </c>
      <c r="AE37" s="285">
        <f t="shared" si="15"/>
        <v>0</v>
      </c>
      <c r="AF37" s="251">
        <v>27</v>
      </c>
      <c r="AG37" s="106" t="str">
        <f t="shared" ca="1" si="0"/>
        <v>FOUT</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c r="K38" s="54" t="s">
        <v>12</v>
      </c>
      <c r="L38" s="353"/>
      <c r="M38" s="9"/>
      <c r="N38" s="6">
        <v>20</v>
      </c>
      <c r="O38" s="11">
        <f>DATE(2024,6,21)+TIME(21,0,0)</f>
        <v>45464.875</v>
      </c>
      <c r="P38" s="134">
        <f t="shared" si="11"/>
        <v>45464.875</v>
      </c>
      <c r="Q38" s="8" t="str">
        <f ca="1">AJ40</f>
        <v>Nederland</v>
      </c>
      <c r="R38" s="7" t="s">
        <v>12</v>
      </c>
      <c r="S38" s="327" t="str">
        <f ca="1">AJ42</f>
        <v>Frankrijk</v>
      </c>
      <c r="T38" s="353"/>
      <c r="U38" s="54" t="s">
        <v>12</v>
      </c>
      <c r="V38" s="353"/>
      <c r="W38" s="60"/>
      <c r="X38" s="17"/>
      <c r="Y38" s="4" t="str">
        <f>IF(ISBLANK(J38),"LEEG",IF(TYPE(J38)=1,IF(AND(J38&lt;10,J38&gt;=0),IF(J38=ROUND(J38,0),"GOED","ONGELDIG"),"HOOG"),"ONGELDIG"))</f>
        <v>LEEG</v>
      </c>
      <c r="Z38" s="4" t="str">
        <f>IF(ISBLANK(L38),"LEEG",IF(TYPE(L38)=1,IF(AND(L38&lt;10,L38&gt;=0),IF(L38=ROUND(L38,0),"GOED","ONGELDIG"),"HOOG"),"ONGELDIG"))</f>
        <v>LEEG</v>
      </c>
      <c r="AA38" s="138" t="str">
        <f>IF(Y38="GOED",IF(Z38="GOED",J38&amp;L38&amp;"|","FOUT"),"FOUT")</f>
        <v>FOUT</v>
      </c>
      <c r="AB38" s="4" t="str">
        <f t="shared" si="12"/>
        <v>LEEG</v>
      </c>
      <c r="AC38" s="4" t="str">
        <f t="shared" si="13"/>
        <v>LEEG</v>
      </c>
      <c r="AD38" s="138" t="str">
        <f t="shared" si="14"/>
        <v>FOUT</v>
      </c>
      <c r="AE38" s="285">
        <f t="shared" si="15"/>
        <v>0</v>
      </c>
      <c r="AF38" s="251">
        <v>28</v>
      </c>
      <c r="AG38" s="106" t="str">
        <f t="shared" ca="1" si="0"/>
        <v>FOUT</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c r="K39" s="54" t="s">
        <v>12</v>
      </c>
      <c r="L39" s="353"/>
      <c r="M39" s="9"/>
      <c r="N39" s="6">
        <v>31</v>
      </c>
      <c r="O39" s="436">
        <f>DATE(2024,6,25)+TIME(18,0,0)</f>
        <v>45468.75</v>
      </c>
      <c r="P39" s="134">
        <f t="shared" si="11"/>
        <v>45468.75</v>
      </c>
      <c r="Q39" s="8" t="str">
        <f ca="1">AJ40</f>
        <v>Nederland</v>
      </c>
      <c r="R39" s="7" t="s">
        <v>12</v>
      </c>
      <c r="S39" s="327" t="str">
        <f ca="1">AJ41</f>
        <v>Oostenrijk</v>
      </c>
      <c r="T39" s="353"/>
      <c r="U39" s="54" t="s">
        <v>12</v>
      </c>
      <c r="V39" s="353"/>
      <c r="W39" s="60"/>
      <c r="X39" s="17"/>
      <c r="Y39" s="4" t="str">
        <f t="shared" ref="Y39:Y40" si="16">IF(ISBLANK(J39),"LEEG",IF(TYPE(J39)=1,IF(AND(J39&lt;10,J39&gt;=0),IF(J39=ROUND(J39,0),"GOED","ONGELDIG"),"HOOG"),"ONGELDIG"))</f>
        <v>LEEG</v>
      </c>
      <c r="Z39" s="4" t="str">
        <f t="shared" ref="Z39:Z40" si="17">IF(ISBLANK(L39),"LEEG",IF(TYPE(L39)=1,IF(AND(L39&lt;10,L39&gt;=0),IF(L39=ROUND(L39,0),"GOED","ONGELDIG"),"HOOG"),"ONGELDIG"))</f>
        <v>LEEG</v>
      </c>
      <c r="AA39" s="138" t="str">
        <f t="shared" ref="AA39:AA40" si="18">IF(Y39="GOED",IF(Z39="GOED",J39&amp;L39&amp;"|","FOUT"),"FOUT")</f>
        <v>FOUT</v>
      </c>
      <c r="AB39" s="4" t="str">
        <f t="shared" si="12"/>
        <v>LEEG</v>
      </c>
      <c r="AC39" s="4" t="str">
        <f t="shared" si="13"/>
        <v>LEEG</v>
      </c>
      <c r="AD39" s="138" t="str">
        <f t="shared" si="14"/>
        <v>FOUT</v>
      </c>
      <c r="AE39" s="285">
        <f t="shared" si="15"/>
        <v>0</v>
      </c>
      <c r="AF39" s="251">
        <v>31</v>
      </c>
      <c r="AG39" s="106" t="str">
        <f t="shared" ca="1" si="0"/>
        <v>FOUT</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0</v>
      </c>
      <c r="AO39" s="206">
        <f>IF(ISNUMBER(V40),V40,0)</f>
        <v>0</v>
      </c>
      <c r="AP39" s="155">
        <f>IF(AD35&lt;&gt;"FOUT",IF(AM39&gt;AL40,3,IF(AM39=AL40,1,0)),0)+IF(AD37&lt;&gt;"FOUT",IF(AN39&gt;AL41,3,IF(AN39=AL41,1,0)),0)+IF(AD40&lt;&gt;"FOUT",IF(AO39&gt;AL42,3,IF(AO39=AL42,1,0)),0)</f>
        <v>0</v>
      </c>
      <c r="AQ39" s="158">
        <f>SUM(AL39:AO39)</f>
        <v>0</v>
      </c>
      <c r="AR39" s="157">
        <f>SUM(AL39:AL42)</f>
        <v>0</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5000003500004</v>
      </c>
      <c r="BA39" s="214">
        <f ca="1">RANK(AZ39,AZ39:AZ42)</f>
        <v>1</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c r="K40" s="54" t="s">
        <v>12</v>
      </c>
      <c r="L40" s="353"/>
      <c r="M40" s="9"/>
      <c r="N40" s="6">
        <v>32</v>
      </c>
      <c r="O40" s="436">
        <f>O39</f>
        <v>45468.75</v>
      </c>
      <c r="P40" s="134">
        <f t="shared" si="11"/>
        <v>45468.75</v>
      </c>
      <c r="Q40" s="8" t="str">
        <f ca="1">AJ42</f>
        <v>Frankrijk</v>
      </c>
      <c r="R40" s="7" t="s">
        <v>12</v>
      </c>
      <c r="S40" s="327" t="str">
        <f ca="1">AJ39</f>
        <v>Polen</v>
      </c>
      <c r="T40" s="353"/>
      <c r="U40" s="54" t="s">
        <v>12</v>
      </c>
      <c r="V40" s="353"/>
      <c r="W40" s="60"/>
      <c r="X40" s="17"/>
      <c r="Y40" s="4" t="str">
        <f t="shared" si="16"/>
        <v>LEEG</v>
      </c>
      <c r="Z40" s="4" t="str">
        <f t="shared" si="17"/>
        <v>LEEG</v>
      </c>
      <c r="AA40" s="138" t="str">
        <f t="shared" si="18"/>
        <v>FOUT</v>
      </c>
      <c r="AB40" s="4" t="str">
        <f t="shared" si="12"/>
        <v>LEEG</v>
      </c>
      <c r="AC40" s="4" t="str">
        <f t="shared" si="13"/>
        <v>LEEG</v>
      </c>
      <c r="AD40" s="138" t="str">
        <f t="shared" si="14"/>
        <v>FOUT</v>
      </c>
      <c r="AE40" s="285">
        <f t="shared" si="15"/>
        <v>0</v>
      </c>
      <c r="AF40" s="106">
        <v>32</v>
      </c>
      <c r="AG40" s="106" t="str">
        <f t="shared" ca="1" si="0"/>
        <v>FOUT</v>
      </c>
      <c r="AH40" s="171" t="str">
        <f ca="1">RIGHT(AJ37,1)&amp;2</f>
        <v>D2</v>
      </c>
      <c r="AI40" s="168">
        <f ca="1">$AV$86</f>
        <v>2</v>
      </c>
      <c r="AJ40" s="154" t="str">
        <f ca="1">VLOOKUP(AH40,Voorblad!$X$67:$Z$98,2,FALSE)</f>
        <v>Nederland</v>
      </c>
      <c r="AK40" s="110" t="str">
        <f ca="1">VLOOKUP(AH40,Voorblad!$X$67:$Z$98,3,FALSE)</f>
        <v>NL</v>
      </c>
      <c r="AL40" s="207">
        <f>IF(ISNUMBER(V35),V35,0)</f>
        <v>0</v>
      </c>
      <c r="AM40" s="202">
        <v>0</v>
      </c>
      <c r="AN40" s="163">
        <f>IF(ISNUMBER(T39),T39,0)</f>
        <v>0</v>
      </c>
      <c r="AO40" s="163">
        <f>IF(ISNUMBER(T38),T38,0)</f>
        <v>0</v>
      </c>
      <c r="AP40" s="151">
        <f>IF(AD35&lt;&gt;"FOUT",IF(AL40&gt;AM39,3,IF(AL40=AM39,1,0)),0)+IF(AD39&lt;&gt;"FOUT",IF(AN40&gt;AM41,3,IF(AN40=AM41,1,0)),0)+IF(AD38&lt;&gt;"FOUT",IF(AO40&gt;AM42,3,IF(AO40=AM42,1,0)),0)</f>
        <v>0</v>
      </c>
      <c r="AQ40" s="153">
        <f>SUM(AL40:AO40)</f>
        <v>0</v>
      </c>
      <c r="AR40" s="152">
        <f>SUM(AM39:AM42)</f>
        <v>0</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5000003500002</v>
      </c>
      <c r="BA40" s="215">
        <f ca="1">RANK(AZ40,AZ39:AZ42)</f>
        <v>3</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FOUT</v>
      </c>
      <c r="AH41" s="171" t="str">
        <f ca="1">RIGHT(AJ37,1)&amp;3</f>
        <v>D3</v>
      </c>
      <c r="AI41" s="168">
        <f ca="1">$AW$86</f>
        <v>3</v>
      </c>
      <c r="AJ41" s="154" t="str">
        <f ca="1">VLOOKUP(AH41,Voorblad!$X$67:$Z$98,2,FALSE)</f>
        <v>Oostenrijk</v>
      </c>
      <c r="AK41" s="110" t="str">
        <f ca="1">VLOOKUP(AH41,Voorblad!$X$67:$Z$98,3,FALSE)</f>
        <v>AT</v>
      </c>
      <c r="AL41" s="207">
        <f>IF(ISNUMBER(V37),V37,0)</f>
        <v>0</v>
      </c>
      <c r="AM41" s="163">
        <f>IF(ISNUMBER(V39),V39,0)</f>
        <v>0</v>
      </c>
      <c r="AN41" s="202">
        <v>0</v>
      </c>
      <c r="AO41" s="163">
        <f>IF(ISNUMBER(T36),T36,0)</f>
        <v>0</v>
      </c>
      <c r="AP41" s="151">
        <f>IF(AD37&lt;&gt;"FOUT",IF(AL41&gt;AN39,3,IF(AL41=AN39,1,0)),0)+IF(AD39&lt;&gt;"FOUT",IF(AM41&gt;AN40,3,IF(AM41=AN40,1,0)),0)+IF(AD36&lt;&gt;"FOUT",IF(AO41&gt;AN42,3,IF(AO41=AN42,1,0)),0)</f>
        <v>0</v>
      </c>
      <c r="AQ41" s="153">
        <f>SUM(AL41:AO41)</f>
        <v>0</v>
      </c>
      <c r="AR41" s="152">
        <f>SUM(AN39:AN42)</f>
        <v>0</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5000003500003</v>
      </c>
      <c r="BA41" s="215">
        <f ca="1">RANK(AZ41,AZ39:AZ42)</f>
        <v>2</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FOUT</v>
      </c>
      <c r="AH42" s="171" t="str">
        <f ca="1">RIGHT(AJ37,1)&amp;4</f>
        <v>D4</v>
      </c>
      <c r="AI42" s="168">
        <f ca="1">$AX$86</f>
        <v>1</v>
      </c>
      <c r="AJ42" s="150" t="str">
        <f ca="1">VLOOKUP(AH42,Voorblad!$X$67:$Z$98,2,FALSE)</f>
        <v>Frankrijk</v>
      </c>
      <c r="AK42" s="149" t="str">
        <f ca="1">VLOOKUP(AH42,Voorblad!$X$67:$Z$98,3,FALSE)</f>
        <v>FR</v>
      </c>
      <c r="AL42" s="208">
        <f>IF(ISNUMBER(T40),T40,0)</f>
        <v>0</v>
      </c>
      <c r="AM42" s="209">
        <f>IF(ISNUMBER(V38),V38,0)</f>
        <v>0</v>
      </c>
      <c r="AN42" s="209">
        <f>IF(ISNUMBER(V36),V36,0)</f>
        <v>0</v>
      </c>
      <c r="AO42" s="210">
        <v>0</v>
      </c>
      <c r="AP42" s="428">
        <f>IF(AD40&lt;&gt;"FOUT",IF(AL42&gt;AO39,3,IF(AL42=AO39,1,0)),0)+IF(AD38&lt;&gt;"FOUT",IF(AM42&gt;AO40,3,IF(AM42=AO40,1,0)),0)+IF(AD36&lt;&gt;"FOUT",IF(AN42&gt;AO41,3,IF(AN42=AO41,1,0)),0)</f>
        <v>0</v>
      </c>
      <c r="AQ42" s="148">
        <f>SUM(AL42:AO42)</f>
        <v>0</v>
      </c>
      <c r="AR42" s="147">
        <f>SUM(AO39:AO42)</f>
        <v>0</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5000003500001</v>
      </c>
      <c r="BA42" s="216">
        <f ca="1">RANK(AZ42,AZ39:AZ42)</f>
        <v>4</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FOUT</v>
      </c>
      <c r="AH43" s="1116"/>
      <c r="AI43" s="1116"/>
      <c r="AJ43" s="70" t="s">
        <v>230</v>
      </c>
      <c r="AK43" s="70" t="str">
        <f>IF(COUNTIF(AB35:AC40,"GOED")=12,"JA","NEE")</f>
        <v>NEE</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FOUT</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c r="K45" s="54" t="s">
        <v>12</v>
      </c>
      <c r="L45" s="353"/>
      <c r="M45" s="9"/>
      <c r="N45" s="6">
        <v>11</v>
      </c>
      <c r="O45" s="11">
        <f>DATE(2024,6,18)+TIME(18,0,0)</f>
        <v>45461.75</v>
      </c>
      <c r="P45" s="134">
        <f t="shared" ref="P45:P50" si="20">O45+TIME(0,0,0)</f>
        <v>45461.75</v>
      </c>
      <c r="Q45" s="440" t="str">
        <f ca="1">AJ57</f>
        <v>Turkije</v>
      </c>
      <c r="R45" s="441" t="s">
        <v>12</v>
      </c>
      <c r="S45" s="442" t="str">
        <f ca="1">AJ58</f>
        <v>Georgië</v>
      </c>
      <c r="T45" s="353"/>
      <c r="U45" s="54" t="s">
        <v>12</v>
      </c>
      <c r="V45" s="353"/>
      <c r="W45" s="955"/>
      <c r="X45" s="17"/>
      <c r="Y45" s="4" t="str">
        <f t="shared" ref="Y45:Y50" si="21">IF(ISBLANK(J45),"LEEG",IF(TYPE(J45)=1,IF(AND(J45&lt;10,J45&gt;=0),IF(J45=ROUND(J45,0),"GOED","ONGELDIG"),"HOOG"),"ONGELDIG"))</f>
        <v>LEEG</v>
      </c>
      <c r="Z45" s="4" t="str">
        <f t="shared" ref="Z45:Z50" si="22">IF(ISBLANK(L45),"LEEG",IF(TYPE(L45)=1,IF(AND(L45&lt;10,L45&gt;=0),IF(L45=ROUND(L45,0),"GOED","ONGELDIG"),"HOOG"),"ONGELDIG"))</f>
        <v>LEEG</v>
      </c>
      <c r="AA45" s="138" t="str">
        <f t="shared" ref="AA45:AA50" si="23">IF(Y45="GOED",IF(Z45="GOED",J45&amp;L45&amp;"|","FOUT"),"FOUT")</f>
        <v>FOUT</v>
      </c>
      <c r="AB45" s="4" t="str">
        <f t="shared" ref="AB45:AB50" si="24">IF(ISBLANK(T45),"LEEG",IF(TYPE(T45)=1,IF(AND(T45&lt;10,T45&gt;=0),IF(T45=ROUND(T45,0),"GOED","ONGELDIG"),"HOOG"),"ONGELDIG"))</f>
        <v>LEEG</v>
      </c>
      <c r="AC45" s="4" t="str">
        <f t="shared" ref="AC45:AC50" si="25">IF(ISBLANK(V45),"LEEG",IF(TYPE(V45)=1,IF(AND(V45&lt;10,V45&gt;=0),IF(V45=ROUND(V45,0),"GOED","ONGELDIG"),"HOOG"),"ONGELDIG"))</f>
        <v>LEEG</v>
      </c>
      <c r="AD45" s="138" t="str">
        <f t="shared" ref="AD45:AD50" si="26">IF(AB45="GOED",IF(AC45="GOED",T45&amp;V45&amp;"|","FOUT"),"FOUT")</f>
        <v>FOUT</v>
      </c>
      <c r="AE45" s="285">
        <f t="shared" ref="AE45:AE50" si="27">IF(AND(Y45="GOED",Z45="GOED",AB45="GOED",AB45="GOED"),IF(J45+L45&gt;T45+V45,J45+L45,T45+V45),IF(AND(Y45="GOED",Z45="GOED"),J45+L45,IF(AND(AB45="GOED",AB45="GOED"),T45+V45,0)))</f>
        <v>0</v>
      </c>
      <c r="AF45" s="251">
        <v>35</v>
      </c>
      <c r="AG45" s="106" t="str">
        <f t="shared" ca="1" si="0"/>
        <v>FOUT</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c r="K46" s="54" t="s">
        <v>12</v>
      </c>
      <c r="L46" s="353"/>
      <c r="M46" s="9"/>
      <c r="N46" s="6">
        <v>12</v>
      </c>
      <c r="O46" s="11">
        <f>DATE(2024,6,18)+TIME(21,0,0)</f>
        <v>45461.875</v>
      </c>
      <c r="P46" s="134">
        <f t="shared" si="20"/>
        <v>45461.875</v>
      </c>
      <c r="Q46" s="440" t="str">
        <f ca="1">AJ59</f>
        <v>Portugal</v>
      </c>
      <c r="R46" s="441" t="s">
        <v>12</v>
      </c>
      <c r="S46" s="442" t="str">
        <f ca="1">AJ60</f>
        <v>Tsjechië</v>
      </c>
      <c r="T46" s="353"/>
      <c r="U46" s="54" t="s">
        <v>12</v>
      </c>
      <c r="V46" s="353"/>
      <c r="W46" s="955"/>
      <c r="X46" s="17"/>
      <c r="Y46" s="4" t="str">
        <f t="shared" si="21"/>
        <v>LEEG</v>
      </c>
      <c r="Z46" s="4" t="str">
        <f t="shared" si="22"/>
        <v>LEEG</v>
      </c>
      <c r="AA46" s="138" t="str">
        <f t="shared" si="23"/>
        <v>FOUT</v>
      </c>
      <c r="AB46" s="4" t="str">
        <f t="shared" si="24"/>
        <v>LEEG</v>
      </c>
      <c r="AC46" s="4" t="str">
        <f t="shared" si="25"/>
        <v>LEEG</v>
      </c>
      <c r="AD46" s="138" t="str">
        <f t="shared" si="26"/>
        <v>FOUT</v>
      </c>
      <c r="AE46" s="285">
        <f t="shared" si="27"/>
        <v>0</v>
      </c>
      <c r="AF46" s="251">
        <v>36</v>
      </c>
      <c r="AG46" s="106" t="str">
        <f t="shared" ca="1" si="0"/>
        <v>FOUT</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c r="K47" s="54" t="s">
        <v>12</v>
      </c>
      <c r="L47" s="353"/>
      <c r="M47" s="9"/>
      <c r="N47" s="6">
        <v>24</v>
      </c>
      <c r="O47" s="11">
        <f>DATE(2024,6,22)+TIME(15,0,0)</f>
        <v>45465.625</v>
      </c>
      <c r="P47" s="134">
        <f>O47+TIME(0,0,0)</f>
        <v>45465.625</v>
      </c>
      <c r="Q47" s="440" t="str">
        <f ca="1">AJ58</f>
        <v>Georgië</v>
      </c>
      <c r="R47" s="441" t="s">
        <v>12</v>
      </c>
      <c r="S47" s="442" t="str">
        <f ca="1">AJ60</f>
        <v>Tsjechië</v>
      </c>
      <c r="T47" s="353"/>
      <c r="U47" s="54" t="s">
        <v>12</v>
      </c>
      <c r="V47" s="353"/>
      <c r="W47" s="955"/>
      <c r="X47" s="17"/>
      <c r="Y47" s="4" t="str">
        <f t="shared" si="21"/>
        <v>LEEG</v>
      </c>
      <c r="Z47" s="4" t="str">
        <f t="shared" si="22"/>
        <v>LEEG</v>
      </c>
      <c r="AA47" s="138" t="str">
        <f t="shared" si="23"/>
        <v>FOUT</v>
      </c>
      <c r="AB47" s="4" t="str">
        <f>IF(ISBLANK(T47),"LEEG",IF(TYPE(T47)=1,IF(AND(T47&lt;10,T47&gt;=0),IF(T47=ROUND(T47,0),"GOED","ONGELDIG"),"HOOG"),"ONGELDIG"))</f>
        <v>LEEG</v>
      </c>
      <c r="AC47" s="4" t="str">
        <f>IF(ISBLANK(V47),"LEEG",IF(TYPE(V47)=1,IF(AND(V47&lt;10,V47&gt;=0),IF(V47=ROUND(V47,0),"GOED","ONGELDIG"),"HOOG"),"ONGELDIG"))</f>
        <v>LEEG</v>
      </c>
      <c r="AD47" s="138" t="str">
        <f>IF(AB47="GOED",IF(AC47="GOED",T47&amp;V47&amp;"|","FOUT"),"FOUT")</f>
        <v>FOUT</v>
      </c>
      <c r="AE47" s="285">
        <f t="shared" si="27"/>
        <v>0</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c r="K48" s="54" t="s">
        <v>12</v>
      </c>
      <c r="L48" s="353"/>
      <c r="M48" s="9"/>
      <c r="N48" s="6">
        <v>23</v>
      </c>
      <c r="O48" s="11">
        <f>DATE(2024,6,22)+TIME(18,0,0)</f>
        <v>45465.75</v>
      </c>
      <c r="P48" s="134">
        <f>O48+TIME(0,0,0)</f>
        <v>45465.75</v>
      </c>
      <c r="Q48" s="440" t="str">
        <f ca="1">AJ57</f>
        <v>Turkije</v>
      </c>
      <c r="R48" s="441" t="s">
        <v>12</v>
      </c>
      <c r="S48" s="442" t="str">
        <f ca="1">AJ59</f>
        <v>Portugal</v>
      </c>
      <c r="T48" s="353"/>
      <c r="U48" s="54" t="s">
        <v>12</v>
      </c>
      <c r="V48" s="353"/>
      <c r="W48" s="955"/>
      <c r="X48" s="17"/>
      <c r="Y48" s="4" t="str">
        <f t="shared" si="21"/>
        <v>LEEG</v>
      </c>
      <c r="Z48" s="4" t="str">
        <f t="shared" si="22"/>
        <v>LEEG</v>
      </c>
      <c r="AA48" s="138" t="str">
        <f t="shared" si="23"/>
        <v>FOUT</v>
      </c>
      <c r="AB48" s="4" t="str">
        <f>IF(ISBLANK(T48),"LEEG",IF(TYPE(T48)=1,IF(AND(T48&lt;10,T48&gt;=0),IF(T48=ROUND(T48,0),"GOED","ONGELDIG"),"HOOG"),"ONGELDIG"))</f>
        <v>LEEG</v>
      </c>
      <c r="AC48" s="4" t="str">
        <f>IF(ISBLANK(V48),"LEEG",IF(TYPE(V48)=1,IF(AND(V48&lt;10,V48&gt;=0),IF(V48=ROUND(V48,0),"GOED","ONGELDIG"),"HOOG"),"ONGELDIG"))</f>
        <v>LEEG</v>
      </c>
      <c r="AD48" s="138" t="str">
        <f>IF(AB48="GOED",IF(AC48="GOED",T48&amp;V48&amp;"|","FOUT"),"FOUT")</f>
        <v>FOUT</v>
      </c>
      <c r="AE48" s="285">
        <f t="shared" si="27"/>
        <v>0</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0</v>
      </c>
      <c r="AN48" s="206">
        <f>IF(ISNUMBER(J48),J48,0)</f>
        <v>0</v>
      </c>
      <c r="AO48" s="206">
        <f>IF(ISNUMBER(L50),L50,0)</f>
        <v>0</v>
      </c>
      <c r="AP48" s="155">
        <f>IF(AA46&lt;&gt;"FOUT",IF(AM48&gt;AL49,3,IF(AM48=AL49,1,0)),0)+IF(AA48&lt;&gt;"FOUT",IF(AN48&gt;AL50,3,IF(AN48=AL50,1,0)),0)+IF(AA50&lt;&gt;"FOUT",IF(AO48&gt;AL51,3,IF(AO48=AL51,1,0)),0)</f>
        <v>0</v>
      </c>
      <c r="AQ48" s="158">
        <f>SUM(AL48:AO48)</f>
        <v>0</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5000003500001</v>
      </c>
      <c r="BA48" s="214">
        <f ca="1">RANK(AZ48,AZ48:AZ51)</f>
        <v>4</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c r="K49" s="54" t="s">
        <v>12</v>
      </c>
      <c r="L49" s="353"/>
      <c r="M49" s="9"/>
      <c r="N49" s="6">
        <v>35</v>
      </c>
      <c r="O49" s="436">
        <f>DATE(2024,6,26)+TIME(21,0,0)</f>
        <v>45469.875</v>
      </c>
      <c r="P49" s="134">
        <f t="shared" si="20"/>
        <v>45469.875</v>
      </c>
      <c r="Q49" s="8" t="str">
        <f ca="1">AJ58</f>
        <v>Georgië</v>
      </c>
      <c r="R49" s="7" t="s">
        <v>12</v>
      </c>
      <c r="S49" s="327" t="str">
        <f ca="1">AJ59</f>
        <v>Portugal</v>
      </c>
      <c r="T49" s="353"/>
      <c r="U49" s="54" t="s">
        <v>12</v>
      </c>
      <c r="V49" s="353"/>
      <c r="W49" s="955"/>
      <c r="X49" s="17"/>
      <c r="Y49" s="4" t="str">
        <f t="shared" si="21"/>
        <v>LEEG</v>
      </c>
      <c r="Z49" s="4" t="str">
        <f t="shared" si="22"/>
        <v>LEEG</v>
      </c>
      <c r="AA49" s="138" t="str">
        <f t="shared" si="23"/>
        <v>FOUT</v>
      </c>
      <c r="AB49" s="4" t="str">
        <f t="shared" si="24"/>
        <v>LEEG</v>
      </c>
      <c r="AC49" s="4" t="str">
        <f t="shared" si="25"/>
        <v>LEEG</v>
      </c>
      <c r="AD49" s="138" t="str">
        <f t="shared" si="26"/>
        <v>FOUT</v>
      </c>
      <c r="AE49" s="285">
        <f t="shared" si="27"/>
        <v>0</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0</v>
      </c>
      <c r="AP49" s="151">
        <f>IF(AA46&lt;&gt;"FOUT",IF(AL49&gt;AM48,3,IF(AL49=AM48,1,0)),0)+IF(AA49&lt;&gt;"FOUT",IF(AN49&gt;AM50,3,IF(AN49=AM50,1,0)),0)+IF(AA47&lt;&gt;"FOUT",IF(AO49&gt;AM51,3,IF(AO49=AM51,1,0)),0)</f>
        <v>0</v>
      </c>
      <c r="AQ49" s="153">
        <f>SUM(AL49:AO49)</f>
        <v>0</v>
      </c>
      <c r="AR49" s="152">
        <f>SUM(AM48:AM51)</f>
        <v>0</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5000003500004</v>
      </c>
      <c r="BA49" s="215">
        <f ca="1">RANK(AZ49,AZ48:AZ51)</f>
        <v>1</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c r="K50" s="54" t="s">
        <v>12</v>
      </c>
      <c r="L50" s="353"/>
      <c r="M50" s="9"/>
      <c r="N50" s="6">
        <v>36</v>
      </c>
      <c r="O50" s="436">
        <f>O49</f>
        <v>45469.875</v>
      </c>
      <c r="P50" s="134">
        <f t="shared" si="20"/>
        <v>45469.875</v>
      </c>
      <c r="Q50" s="8" t="str">
        <f ca="1">AJ60</f>
        <v>Tsjechië</v>
      </c>
      <c r="R50" s="7" t="s">
        <v>12</v>
      </c>
      <c r="S50" s="327" t="str">
        <f ca="1">AJ57</f>
        <v>Turkije</v>
      </c>
      <c r="T50" s="353"/>
      <c r="U50" s="54" t="s">
        <v>12</v>
      </c>
      <c r="V50" s="353"/>
      <c r="W50" s="955"/>
      <c r="X50" s="17"/>
      <c r="Y50" s="4" t="str">
        <f t="shared" si="21"/>
        <v>LEEG</v>
      </c>
      <c r="Z50" s="4" t="str">
        <f t="shared" si="22"/>
        <v>LEEG</v>
      </c>
      <c r="AA50" s="138" t="str">
        <f t="shared" si="23"/>
        <v>FOUT</v>
      </c>
      <c r="AB50" s="4" t="str">
        <f t="shared" si="24"/>
        <v>LEEG</v>
      </c>
      <c r="AC50" s="4" t="str">
        <f t="shared" si="25"/>
        <v>LEEG</v>
      </c>
      <c r="AD50" s="138" t="str">
        <f t="shared" si="26"/>
        <v>FOUT</v>
      </c>
      <c r="AE50" s="285">
        <f t="shared" si="27"/>
        <v>0</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0</v>
      </c>
      <c r="AP50" s="151">
        <f>IF(AA48&lt;&gt;"FOUT",IF(AL50&gt;AN48,3,IF(AL50=AN48,1,0)),0)+IF(AA49&lt;&gt;"FOUT",IF(AM50&gt;AN49,3,IF(AM50=AN49,1,0)),0)+IF(AA45&lt;&gt;"FOUT",IF(AO50&gt;AN51,3,IF(AO50=AN51,1,0)),0)</f>
        <v>0</v>
      </c>
      <c r="AQ50" s="153">
        <f>SUM(AL50:AO50)</f>
        <v>0</v>
      </c>
      <c r="AR50" s="152">
        <f>SUM(AN48:AN51)</f>
        <v>0</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5000003500003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0</v>
      </c>
      <c r="AN51" s="209">
        <f>IF(ISNUMBER(L45),L45,0)</f>
        <v>0</v>
      </c>
      <c r="AO51" s="210">
        <v>0</v>
      </c>
      <c r="AP51" s="428">
        <f>IF(AA50&lt;&gt;"FOUT",IF(AL51&gt;AO48,3,IF(AL51=AO48,1,0)),0)+IF(AA47&lt;&gt;"FOUT",IF(AM51&gt;AO49,3,IF(AM51=AO49,1,0)),0)+IF(AA45&lt;&gt;"FOUT",IF(AN51&gt;AO50,3,IF(AN51=AO50,1,0)),0)</f>
        <v>0</v>
      </c>
      <c r="AQ51" s="148">
        <f>SUM(AL51:AO51)</f>
        <v>0</v>
      </c>
      <c r="AR51" s="147">
        <f>SUM(AO48:AO51)</f>
        <v>0</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5000003500002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NEE</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0</v>
      </c>
      <c r="AN57" s="206">
        <f>IF(ISNUMBER(T48),T48,0)</f>
        <v>0</v>
      </c>
      <c r="AO57" s="206">
        <f>IF(ISNUMBER(V50),V50,0)</f>
        <v>0</v>
      </c>
      <c r="AP57" s="155">
        <f>IF(AD45&lt;&gt;"FOUT",IF(AM57&gt;AL58,3,IF(AM57=AL58,1,0)),0)+IF(AD48&lt;&gt;"FOUT",IF(AN57&gt;AL59,3,IF(AN57=AL59,1,0)),0)+IF(AD50&lt;&gt;"FOUT",IF(AO57&gt;AL60,3,IF(AO57=AL60,1,0)),0)</f>
        <v>0</v>
      </c>
      <c r="AQ57" s="158">
        <f>SUM(AL57:AO57)</f>
        <v>0</v>
      </c>
      <c r="AR57" s="157">
        <f>SUM(AL57:AL60)</f>
        <v>0</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5000003500004</v>
      </c>
      <c r="BA57" s="214">
        <f ca="1">RANK(AZ57,AZ57:AZ60)</f>
        <v>1</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0</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5000003500001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0</v>
      </c>
      <c r="AM59" s="163">
        <f>IF(ISNUMBER(V49),V49,0)</f>
        <v>0</v>
      </c>
      <c r="AN59" s="202">
        <v>0</v>
      </c>
      <c r="AO59" s="163">
        <f>IF(ISNUMBER(T46),T46,0)</f>
        <v>0</v>
      </c>
      <c r="AP59" s="151">
        <f>IF(AD48&lt;&gt;"FOUT",IF(AL59&gt;AN57,3,IF(AL59=AN57,1,0)),0)+IF(AD49&lt;&gt;"FOUT",IF(AM59&gt;AN58,3,IF(AM59=AN58,1,0)),0)+IF(AD46&lt;&gt;"FOUT",IF(AO59&gt;AN60,3,IF(AO59=AN60,1,0)),0)</f>
        <v>0</v>
      </c>
      <c r="AQ59" s="153">
        <f>SUM(AL59:AO59)</f>
        <v>0</v>
      </c>
      <c r="AR59" s="152">
        <f>SUM(AN57:AN60)</f>
        <v>0</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5000003500002</v>
      </c>
      <c r="BA59" s="215">
        <f ca="1">RANK(AZ59,AZ57:AZ60)</f>
        <v>3</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0</v>
      </c>
      <c r="AM60" s="209">
        <f>IF(ISNUMBER(V47),V47,0)</f>
        <v>0</v>
      </c>
      <c r="AN60" s="209">
        <f>IF(ISNUMBER(V46),V46,0)</f>
        <v>0</v>
      </c>
      <c r="AO60" s="210">
        <v>0</v>
      </c>
      <c r="AP60" s="428">
        <f>IF(AD50&lt;&gt;"FOUT",IF(AL60&gt;AO57,3,IF(AL60=AO57,1,0)),0)+IF(AD47&lt;&gt;"FOUT",IF(AM60&gt;AO58,3,IF(AM60=AO58,1,0)),0)+IF(AD46&lt;&gt;"FOUT",IF(AN60&gt;AO59,3,IF(AN60=AO59,1,0)),0)</f>
        <v>0</v>
      </c>
      <c r="AQ60" s="148">
        <f>SUM(AL60:AO60)</f>
        <v>0</v>
      </c>
      <c r="AR60" s="147">
        <f>SUM(AO57:AO60)</f>
        <v>0</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5000003500003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NEE</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0</v>
      </c>
      <c r="AA67" s="189">
        <f>IF(AK25="JA",6,0)</f>
        <v>0</v>
      </c>
      <c r="AB67" s="189">
        <f>IF(AK34="JA",6,0)</f>
        <v>0</v>
      </c>
      <c r="AC67" s="189">
        <f>IF(AK43="JA",6,0)</f>
        <v>0</v>
      </c>
      <c r="AD67" s="189">
        <f>IF(AK52="JA",6,0)</f>
        <v>0</v>
      </c>
      <c r="AE67" s="189">
        <f>IF(AK61="JA",6,0)</f>
        <v>0</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0</v>
      </c>
      <c r="AA68" s="189">
        <f>LARGE($AP$21:$AP$24,1)</f>
        <v>0</v>
      </c>
      <c r="AB68" s="189">
        <f>LARGE($AP$30:$AP$33,1)</f>
        <v>0</v>
      </c>
      <c r="AC68" s="189">
        <f>LARGE($AP$39:$AP$42,1)</f>
        <v>0</v>
      </c>
      <c r="AD68" s="189">
        <f>LARGE($AP$48:$AP$51,1)</f>
        <v>0</v>
      </c>
      <c r="AE68" s="189">
        <f>LARGE($AP$57:$AP$60,1)</f>
        <v>0</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0</v>
      </c>
      <c r="AA69" s="189">
        <f>LARGE($AP$21:$AP$24,2)</f>
        <v>0</v>
      </c>
      <c r="AB69" s="189">
        <f>LARGE($AP$30:$AP$33,2)</f>
        <v>0</v>
      </c>
      <c r="AC69" s="189">
        <f>LARGE($AP$39:$AP$42,2)</f>
        <v>0</v>
      </c>
      <c r="AD69" s="189">
        <f>LARGE($AP$48:$AP$51,2)</f>
        <v>0</v>
      </c>
      <c r="AE69" s="189">
        <f>LARGE($AP$57:$AP$60,2)</f>
        <v>0</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0</v>
      </c>
      <c r="AA70" s="189">
        <f>LARGE($AP$21:$AP$24,3)</f>
        <v>0</v>
      </c>
      <c r="AB70" s="189">
        <f>LARGE($AP$30:$AP$33,3)</f>
        <v>0</v>
      </c>
      <c r="AC70" s="189">
        <f>LARGE($AP$39:$AP$42,3)</f>
        <v>0</v>
      </c>
      <c r="AD70" s="189">
        <f>LARGE($AP$48:$AP$51,3)</f>
        <v>0</v>
      </c>
      <c r="AE70" s="189">
        <f>LARGE($AP$57:$AP$60,3)</f>
        <v>0</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0</v>
      </c>
      <c r="AD71" s="189">
        <f>LARGE($AP$48:$AP$51,4)</f>
        <v>0</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IF(Z$67=6,IF(Z68=$AP$12,$AH$12,"")&amp;IF(Z68=$AP$13,$AH$13,"")&amp;IF(Z68=$AP$14,$AH$14,"")&amp;IF(Z68=$AP$15,$AH$15,""),"")</f>
        <v/>
      </c>
      <c r="AA72" s="189" t="str">
        <f>IF(AA$67=6,IF(AA68=$AP$21,$AH$21,"")&amp;IF(AA68=$AP$22,$AH$22,"")&amp;IF(AA68=$AP$23,$AH$23,"")&amp;IF(AA68=$AP$24,$AH$24,""),"")</f>
        <v/>
      </c>
      <c r="AB72" s="189" t="str">
        <f>IF(AB$67=6,IF(AB68=$AP$30,$AH$30,"")&amp;IF(AB68=$AP$31,$AH$31,"")&amp;IF(AB68=$AP$32,$AH$32,"")&amp;IF(AB68=$AP$33,$AH$33,""),"")</f>
        <v/>
      </c>
      <c r="AC72" s="189" t="str">
        <f>IF(AC$67=6,IF(AC68=$AP$39,$AH$39,"")&amp;IF(AC68=$AP$40,$AH$40,"")&amp;IF(AC68=$AP$41,$AH$41,"")&amp;IF(AC68=$AP$42,$AH$42,""),"")</f>
        <v/>
      </c>
      <c r="AD72" s="189" t="str">
        <f>IF(AD$67,IF(AD68=$AP$48,$AH$48,"")&amp;IF(AD68=$AP$49,$AH$49,"")&amp;IF(AD68=$AP$50,$AH$50,"")&amp;IF(AD68=$AP$51,$AH$51,""),"")</f>
        <v/>
      </c>
      <c r="AE72" s="189" t="str">
        <f>IF(AE$67=6,IF(AE68=$AP$57,$AH$57,"")&amp;IF(AE68=$AP$58,$AH$58,"")&amp;IF(AE68=$AP$59,$AH$59,"")&amp;IF(AE68=$AP$60,$AH$60,""),"")</f>
        <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IF(Z$67=6,IF(Z69=$AP$12,$AH$12,"")&amp;IF(Z69=$AP$13,$AH$13,"")&amp;IF(Z69=$AP$14,$AH$14,"")&amp;IF(Z69=$AP$15,$AH$15,""),"")</f>
        <v/>
      </c>
      <c r="AA73" s="189" t="str">
        <f>IF(AA$67=6,IF(AA69=$AP$21,$AH$21,"")&amp;IF(AA69=$AP$22,$AH$22,"")&amp;IF(AA69=$AP$23,$AH$23,"")&amp;IF(AA69=$AP$24,$AH$24,""),"")</f>
        <v/>
      </c>
      <c r="AB73" s="189" t="str">
        <f>IF(AB$67=6,IF(AB69=$AP$30,$AH$30,"")&amp;IF(AB69=$AP$31,$AH$31,"")&amp;IF(AB69=$AP$32,$AH$32,"")&amp;IF(AB69=$AP$33,$AH$33,""),"")</f>
        <v/>
      </c>
      <c r="AC73" s="189" t="str">
        <f>IF(AC$67=6,IF(AC69=$AP$39,$AH$39,"")&amp;IF(AC69=$AP$40,$AH$40,"")&amp;IF(AC69=$AP$41,$AH$41,"")&amp;IF(AC69=$AP$42,$AH$42,""),"")</f>
        <v/>
      </c>
      <c r="AD73" s="189" t="str">
        <f>IF(AD$67,IF(AD69=$AP$48,$AH$48,"")&amp;IF(AD69=$AP$49,$AH$49,"")&amp;IF(AD69=$AP$50,$AH$50,"")&amp;IF(AD69=$AP$51,$AH$51,""),"")</f>
        <v/>
      </c>
      <c r="AE73" s="189" t="str">
        <f>IF(AE$67=6,IF(AE69=$AP$57,$AH$57,"")&amp;IF(AE69=$AP$58,$AH$58,"")&amp;IF(AE69=$AP$59,$AH$59,"")&amp;IF(AE69=$AP$60,$AH$60,""),"")</f>
        <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IF(Z$67=6,IF(Z70=$AP$12,$AH$12,"")&amp;IF(Z70=$AP$13,$AH$13,"")&amp;IF(Z70=$AP$14,$AH$14,"")&amp;IF(Z70=$AP$15,$AH$15,""),"")</f>
        <v/>
      </c>
      <c r="AA74" s="189" t="str">
        <f>IF(AA$67=6,IF(AA70=$AP$21,$AH$21,"")&amp;IF(AA70=$AP$22,$AH$22,"")&amp;IF(AA70=$AP$23,$AH$23,"")&amp;IF(AA70=$AP$24,$AH$24,""),"")</f>
        <v/>
      </c>
      <c r="AB74" s="189" t="str">
        <f>IF(AB$67=6,IF(AB70=$AP$30,$AH$30,"")&amp;IF(AB70=$AP$31,$AH$31,"")&amp;IF(AB70=$AP$32,$AH$32,"")&amp;IF(AB70=$AP$33,$AH$33,""),"")</f>
        <v/>
      </c>
      <c r="AC74" s="189" t="str">
        <f>IF(AC$67=6,IF(AC70=$AP$39,$AH$39,"")&amp;IF(AC70=$AP$40,$AH$40,"")&amp;IF(AC70=$AP$41,$AH$41,"")&amp;IF(AC70=$AP$42,$AH$42,""),"")</f>
        <v/>
      </c>
      <c r="AD74" s="189" t="str">
        <f>IF(AD$67,IF(AD70=$AP$48,$AH$48,"")&amp;IF(AD70=$AP$49,$AH$49,"")&amp;IF(AD70=$AP$50,$AH$50,"")&amp;IF(AD70=$AP$51,$AH$51,""),"")</f>
        <v/>
      </c>
      <c r="AE74" s="189" t="str">
        <f>IF(AE$67=6,IF(AE70=$AP$57,$AH$57,"")&amp;IF(AE70=$AP$58,$AH$58,"")&amp;IF(AE70=$AP$59,$AH$59,"")&amp;IF(AE70=$AP$60,$AH$60,""),"")</f>
        <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IF(Z$67=6,IF(Z71=$AP$12,$AH$12,"")&amp;IF(Z71=$AP$13,$AH$13,"")&amp;IF(Z71=$AP$14,$AH$14,"")&amp;IF(Z71=$AP$15,$AH$15,""),"")</f>
        <v/>
      </c>
      <c r="AA75" s="189" t="str">
        <f>IF(AA$67=6,IF(AA71=$AP$21,$AH$21,"")&amp;IF(AA71=$AP$22,$AH$22,"")&amp;IF(AA71=$AP$23,$AH$23,"")&amp;IF(AA71=$AP$24,$AH$24,""),"")</f>
        <v/>
      </c>
      <c r="AB75" s="189" t="str">
        <f>IF(AB$67=6,IF(AB71=$AP$30,$AH$30,"")&amp;IF(AB71=$AP$31,$AH$31,"")&amp;IF(AB71=$AP$32,$AH$32,"")&amp;IF(AB71=$AP$33,$AH$33,""),"")</f>
        <v/>
      </c>
      <c r="AC75" s="189" t="str">
        <f>IF(AC$67=6,IF(AC71=$AP$39,$AH$39,"")&amp;IF(AC71=$AP$40,$AH$40,"")&amp;IF(AC71=$AP$41,$AH$41,"")&amp;IF(AC71=$AP$42,$AH$42,""),"")</f>
        <v/>
      </c>
      <c r="AD75" s="189" t="str">
        <f>IF(AD$67,IF(AD71=$AP$48,$AH$48,"")&amp;IF(AD71=$AP$49,$AH$49,"")&amp;IF(AD71=$AP$50,$AH$50,"")&amp;IF(AD71=$AP$51,$AH$51,""),"")</f>
        <v/>
      </c>
      <c r="AE75" s="189" t="str">
        <f>IF(AE$67=6,IF(AE71=$AP$57,$AH$57,"")&amp;IF(AE71=$AP$58,$AH$58,"")&amp;IF(AE71=$AP$59,$AH$59,"")&amp;IF(AE71=$AP$60,$AH$60,""),"")</f>
        <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IF(LEN(Z72)&gt;=2,VLOOKUP(LEFT(Z72,2),Voorblad!$X$67:$Y$98,2),"")&amp;IF(LEN(Z72)&gt;=4," / "&amp;VLOOKUP(RIGHT(LEFT(Z72,4),2),Voorblad!$X$67:$Y$98,2),"")&amp;IF(LEN(Z72)&gt;=6," / "&amp;VLOOKUP(RIGHT(LEFT(Z72,6),2),Voorblad!$X$67:$Y$98,2),"")&amp;IF(LEN(Z72)&gt;=8," / "&amp;VLOOKUP(RIGHT(LEFT(Z72,8),2),Voorblad!$X$67:$Y$98,2),"")</f>
        <v/>
      </c>
      <c r="AA76" s="478" t="str">
        <f>IF(LEN(AA72)&gt;=2,VLOOKUP(LEFT(AA72,2),Voorblad!$X$67:$Y$98,2),"")&amp;IF(LEN(AA72)&gt;=4," / "&amp;VLOOKUP(RIGHT(LEFT(AA72,4),2),Voorblad!$X$67:$Y$98,2),"")&amp;IF(LEN(AA72)&gt;=6," / "&amp;VLOOKUP(RIGHT(LEFT(AA72,6),2),Voorblad!$X$67:$Y$98,2),"")&amp;IF(LEN(AA72)&gt;=8," / "&amp;VLOOKUP(RIGHT(LEFT(AA72,8),2),Voorblad!$X$67:$Y$98,2),"")</f>
        <v/>
      </c>
      <c r="AB76" s="478" t="str">
        <f>IF(LEN(AB72)&gt;=2,VLOOKUP(LEFT(AB72,2),Voorblad!$X$67:$Y$98,2),"")&amp;IF(LEN(AB72)&gt;=4," / "&amp;VLOOKUP(RIGHT(LEFT(AB72,4),2),Voorblad!$X$67:$Y$98,2),"")&amp;IF(LEN(AB72)&gt;=6," / "&amp;VLOOKUP(RIGHT(LEFT(AB72,6),2),Voorblad!$X$67:$Y$98,2),"")&amp;IF(LEN(AB72)&gt;=8," / "&amp;VLOOKUP(RIGHT(LEFT(AB72,8),2),Voorblad!$X$67:$Y$98,2),"")</f>
        <v/>
      </c>
      <c r="AC76" s="478" t="str">
        <f>IF(LEN(AC72)&gt;=2,VLOOKUP(LEFT(AC72,2),Voorblad!$X$67:$Y$98,2),"")&amp;IF(LEN(AC72)&gt;=4," / "&amp;VLOOKUP(RIGHT(LEFT(AC72,4),2),Voorblad!$X$67:$Y$98,2),"")&amp;IF(LEN(AC72)&gt;=6," / "&amp;VLOOKUP(RIGHT(LEFT(AC72,6),2),Voorblad!$X$67:$Y$98,2),"")&amp;IF(LEN(AC72)&gt;=8," / "&amp;VLOOKUP(RIGHT(LEFT(AC72,8),2),Voorblad!$X$67:$Y$98,2),"")</f>
        <v/>
      </c>
      <c r="AD76" s="478" t="str">
        <f>IF(LEN(AD72)&gt;=2,VLOOKUP(LEFT(AD72,2),Voorblad!$X$67:$Y$98,2),"")&amp;IF(LEN(AD72)&gt;=4," / "&amp;VLOOKUP(RIGHT(LEFT(AD72,4),2),Voorblad!$X$67:$Y$98,2),"")&amp;IF(LEN(AD72)&gt;=6," / "&amp;VLOOKUP(RIGHT(LEFT(AD72,6),2),Voorblad!$X$67:$Y$98,2),"")&amp;IF(LEN(AD72)&gt;=8," / "&amp;VLOOKUP(RIGHT(LEFT(AD72,8),2),Voorblad!$X$67:$Y$98,2),"")</f>
        <v/>
      </c>
      <c r="AE76" s="478" t="str">
        <f>IF(LEN(AE72)&gt;=2,VLOOKUP(LEFT(AE72,2),Voorblad!$X$67:$Y$98,2),"")&amp;IF(LEN(AE72)&gt;=4," / "&amp;VLOOKUP(RIGHT(LEFT(AE72,4),2),Voorblad!$X$67:$Y$98,2),"")&amp;IF(LEN(AE72)&gt;=6," / "&amp;VLOOKUP(RIGHT(LEFT(AE72,6),2),Voorblad!$X$67:$Y$98,2),"")&amp;IF(LEN(AE72)&gt;=8," / "&amp;VLOOKUP(RIGHT(LEFT(AE72,8),2),Voorblad!$X$67:$Y$98,2),"")</f>
        <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IF(LEN(Z73)&gt;=2,VLOOKUP(LEFT(Z73,2),Voorblad!$X$67:$Y$98,2),"")&amp;IF(LEN(Z73)&gt;=4," / "&amp;VLOOKUP(RIGHT(LEFT(Z73,4),2),Voorblad!$X$67:$Y$98,2),"")&amp;IF(LEN(Z73)&gt;=6," / "&amp;VLOOKUP(RIGHT(LEFT(Z73,6),2),Voorblad!$X$67:$Y$98,2),"")&amp;IF(LEN(Z73)&gt;=8," / "&amp;VLOOKUP(RIGHT(LEFT(Z73,8),2),Voorblad!$X$67:$Y$98,2),"")</f>
        <v/>
      </c>
      <c r="AA77" s="478" t="str">
        <f>IF(LEN(AA73)&gt;=2,VLOOKUP(LEFT(AA73,2),Voorblad!$X$67:$Y$98,2),"")&amp;IF(LEN(AA73)&gt;=4," / "&amp;VLOOKUP(RIGHT(LEFT(AA73,4),2),Voorblad!$X$67:$Y$98,2),"")&amp;IF(LEN(AA73)&gt;=6," / "&amp;VLOOKUP(RIGHT(LEFT(AA73,6),2),Voorblad!$X$67:$Y$98,2),"")&amp;IF(LEN(AA73)&gt;=8," / "&amp;VLOOKUP(RIGHT(LEFT(AA73,8),2),Voorblad!$X$67:$Y$98,2),"")</f>
        <v/>
      </c>
      <c r="AB77" s="478" t="str">
        <f>IF(LEN(AB73)&gt;=2,VLOOKUP(LEFT(AB73,2),Voorblad!$X$67:$Y$98,2),"")&amp;IF(LEN(AB73)&gt;=4," / "&amp;VLOOKUP(RIGHT(LEFT(AB73,4),2),Voorblad!$X$67:$Y$98,2),"")&amp;IF(LEN(AB73)&gt;=6," / "&amp;VLOOKUP(RIGHT(LEFT(AB73,6),2),Voorblad!$X$67:$Y$98,2),"")&amp;IF(LEN(AB73)&gt;=8," / "&amp;VLOOKUP(RIGHT(LEFT(AB73,8),2),Voorblad!$X$67:$Y$98,2),"")</f>
        <v/>
      </c>
      <c r="AC77" s="478" t="str">
        <f>IF(LEN(AC73)&gt;=2,VLOOKUP(LEFT(AC73,2),Voorblad!$X$67:$Y$98,2),"")&amp;IF(LEN(AC73)&gt;=4," / "&amp;VLOOKUP(RIGHT(LEFT(AC73,4),2),Voorblad!$X$67:$Y$98,2),"")&amp;IF(LEN(AC73)&gt;=6," / "&amp;VLOOKUP(RIGHT(LEFT(AC73,6),2),Voorblad!$X$67:$Y$98,2),"")&amp;IF(LEN(AC73)&gt;=8," / "&amp;VLOOKUP(RIGHT(LEFT(AC73,8),2),Voorblad!$X$67:$Y$98,2),"")</f>
        <v/>
      </c>
      <c r="AD77" s="478" t="str">
        <f>IF(LEN(AD73)&gt;=2,VLOOKUP(LEFT(AD73,2),Voorblad!$X$67:$Y$98,2),"")&amp;IF(LEN(AD73)&gt;=4," / "&amp;VLOOKUP(RIGHT(LEFT(AD73,4),2),Voorblad!$X$67:$Y$98,2),"")&amp;IF(LEN(AD73)&gt;=6," / "&amp;VLOOKUP(RIGHT(LEFT(AD73,6),2),Voorblad!$X$67:$Y$98,2),"")&amp;IF(LEN(AD73)&gt;=8," / "&amp;VLOOKUP(RIGHT(LEFT(AD73,8),2),Voorblad!$X$67:$Y$98,2),"")</f>
        <v/>
      </c>
      <c r="AE77" s="478" t="str">
        <f>IF(LEN(AE73)&gt;=2,VLOOKUP(LEFT(AE73,2),Voorblad!$X$67:$Y$98,2),"")&amp;IF(LEN(AE73)&gt;=4," / "&amp;VLOOKUP(RIGHT(LEFT(AE73,4),2),Voorblad!$X$67:$Y$98,2),"")&amp;IF(LEN(AE73)&gt;=6," / "&amp;VLOOKUP(RIGHT(LEFT(AE73,6),2),Voorblad!$X$67:$Y$98,2),"")&amp;IF(LEN(AE73)&gt;=8," / "&amp;VLOOKUP(RIGHT(LEFT(AE73,8),2),Voorblad!$X$67:$Y$98,2),"")</f>
        <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IF(LEN(Z74)&gt;=2,VLOOKUP(LEFT(Z74,2),Voorblad!$X$67:$Y$98,2),"")&amp;IF(LEN(Z74)&gt;=4," / "&amp;VLOOKUP(RIGHT(LEFT(Z74,4),2),Voorblad!$X$67:$Y$98,2),"")&amp;IF(LEN(Z74)&gt;=6," / "&amp;VLOOKUP(RIGHT(LEFT(Z74,6),2),Voorblad!$X$67:$Y$98,2),"")&amp;IF(LEN(Z74)&gt;=8," / "&amp;VLOOKUP(RIGHT(LEFT(Z74,8),2),Voorblad!$X$67:$Y$98,2),"")</f>
        <v/>
      </c>
      <c r="AA78" s="478" t="str">
        <f>IF(LEN(AA74)&gt;=2,VLOOKUP(LEFT(AA74,2),Voorblad!$X$67:$Y$98,2),"")&amp;IF(LEN(AA74)&gt;=4," / "&amp;VLOOKUP(RIGHT(LEFT(AA74,4),2),Voorblad!$X$67:$Y$98,2),"")&amp;IF(LEN(AA74)&gt;=6," / "&amp;VLOOKUP(RIGHT(LEFT(AA74,6),2),Voorblad!$X$67:$Y$98,2),"")&amp;IF(LEN(AA74)&gt;=8," / "&amp;VLOOKUP(RIGHT(LEFT(AA74,8),2),Voorblad!$X$67:$Y$98,2),"")</f>
        <v/>
      </c>
      <c r="AB78" s="478" t="str">
        <f>IF(LEN(AB74)&gt;=2,VLOOKUP(LEFT(AB74,2),Voorblad!$X$67:$Y$98,2),"")&amp;IF(LEN(AB74)&gt;=4," / "&amp;VLOOKUP(RIGHT(LEFT(AB74,4),2),Voorblad!$X$67:$Y$98,2),"")&amp;IF(LEN(AB74)&gt;=6," / "&amp;VLOOKUP(RIGHT(LEFT(AB74,6),2),Voorblad!$X$67:$Y$98,2),"")&amp;IF(LEN(AB74)&gt;=8," / "&amp;VLOOKUP(RIGHT(LEFT(AB74,8),2),Voorblad!$X$67:$Y$98,2),"")</f>
        <v/>
      </c>
      <c r="AC78" s="478" t="str">
        <f>IF(LEN(AC74)&gt;=2,VLOOKUP(LEFT(AC74,2),Voorblad!$X$67:$Y$98,2),"")&amp;IF(LEN(AC74)&gt;=4," / "&amp;VLOOKUP(RIGHT(LEFT(AC74,4),2),Voorblad!$X$67:$Y$98,2),"")&amp;IF(LEN(AC74)&gt;=6," / "&amp;VLOOKUP(RIGHT(LEFT(AC74,6),2),Voorblad!$X$67:$Y$98,2),"")&amp;IF(LEN(AC74)&gt;=8," / "&amp;VLOOKUP(RIGHT(LEFT(AC74,8),2),Voorblad!$X$67:$Y$98,2),"")</f>
        <v/>
      </c>
      <c r="AD78" s="478" t="str">
        <f>IF(LEN(AD74)&gt;=2,VLOOKUP(LEFT(AD74,2),Voorblad!$X$67:$Y$98,2),"")&amp;IF(LEN(AD74)&gt;=4," / "&amp;VLOOKUP(RIGHT(LEFT(AD74,4),2),Voorblad!$X$67:$Y$98,2),"")&amp;IF(LEN(AD74)&gt;=6," / "&amp;VLOOKUP(RIGHT(LEFT(AD74,6),2),Voorblad!$X$67:$Y$98,2),"")&amp;IF(LEN(AD74)&gt;=8," / "&amp;VLOOKUP(RIGHT(LEFT(AD74,8),2),Voorblad!$X$67:$Y$98,2),"")</f>
        <v/>
      </c>
      <c r="AE78" s="478" t="str">
        <f>IF(LEN(AE74)&gt;=2,VLOOKUP(LEFT(AE74,2),Voorblad!$X$67:$Y$98,2),"")&amp;IF(LEN(AE74)&gt;=4," / "&amp;VLOOKUP(RIGHT(LEFT(AE74,4),2),Voorblad!$X$67:$Y$98,2),"")&amp;IF(LEN(AE74)&gt;=6," / "&amp;VLOOKUP(RIGHT(LEFT(AE74,6),2),Voorblad!$X$67:$Y$98,2),"")&amp;IF(LEN(AE74)&gt;=8," / "&amp;VLOOKUP(RIGHT(LEFT(AE74,8),2),Voorblad!$X$67:$Y$98,2),"")</f>
        <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IF(LEN(Z75)&gt;=2,VLOOKUP(LEFT(Z75,2),Voorblad!$X$67:$Y$98,2),"")&amp;IF(LEN(Z75)&gt;=4," / "&amp;VLOOKUP(RIGHT(LEFT(Z75,4),2),Voorblad!$X$67:$Y$98,2),"")&amp;IF(LEN(Z75)&gt;=6," / "&amp;VLOOKUP(RIGHT(LEFT(Z75,6),2),Voorblad!$X$67:$Y$98,2),"")&amp;IF(LEN(Z75)&gt;=8," / "&amp;VLOOKUP(RIGHT(LEFT(Z75,8),2),Voorblad!$X$67:$Y$98,2),"")</f>
        <v/>
      </c>
      <c r="AA79" s="478" t="str">
        <f>IF(LEN(AA75)&gt;=2,VLOOKUP(LEFT(AA75,2),Voorblad!$X$67:$Y$98,2),"")&amp;IF(LEN(AA75)&gt;=4," / "&amp;VLOOKUP(RIGHT(LEFT(AA75,4),2),Voorblad!$X$67:$Y$98,2),"")&amp;IF(LEN(AA75)&gt;=6," / "&amp;VLOOKUP(RIGHT(LEFT(AA75,6),2),Voorblad!$X$67:$Y$98,2),"")&amp;IF(LEN(AA75)&gt;=8," / "&amp;VLOOKUP(RIGHT(LEFT(AA75,8),2),Voorblad!$X$67:$Y$98,2),"")</f>
        <v/>
      </c>
      <c r="AB79" s="478" t="str">
        <f>IF(LEN(AB75)&gt;=2,VLOOKUP(LEFT(AB75,2),Voorblad!$X$67:$Y$98,2),"")&amp;IF(LEN(AB75)&gt;=4," / "&amp;VLOOKUP(RIGHT(LEFT(AB75,4),2),Voorblad!$X$67:$Y$98,2),"")&amp;IF(LEN(AB75)&gt;=6," / "&amp;VLOOKUP(RIGHT(LEFT(AB75,6),2),Voorblad!$X$67:$Y$98,2),"")&amp;IF(LEN(AB75)&gt;=8," / "&amp;VLOOKUP(RIGHT(LEFT(AB75,8),2),Voorblad!$X$67:$Y$98,2),"")</f>
        <v/>
      </c>
      <c r="AC79" s="478" t="str">
        <f>IF(LEN(AC75)&gt;=2,VLOOKUP(LEFT(AC75,2),Voorblad!$X$67:$Y$98,2),"")&amp;IF(LEN(AC75)&gt;=4," / "&amp;VLOOKUP(RIGHT(LEFT(AC75,4),2),Voorblad!$X$67:$Y$98,2),"")&amp;IF(LEN(AC75)&gt;=6," / "&amp;VLOOKUP(RIGHT(LEFT(AC75,6),2),Voorblad!$X$67:$Y$98,2),"")&amp;IF(LEN(AC75)&gt;=8," / "&amp;VLOOKUP(RIGHT(LEFT(AC75,8),2),Voorblad!$X$67:$Y$98,2),"")</f>
        <v/>
      </c>
      <c r="AD79" s="478" t="str">
        <f>IF(LEN(AD75)&gt;=2,VLOOKUP(LEFT(AD75,2),Voorblad!$X$67:$Y$98,2),"")&amp;IF(LEN(AD75)&gt;=4," / "&amp;VLOOKUP(RIGHT(LEFT(AD75,4),2),Voorblad!$X$67:$Y$98,2),"")&amp;IF(LEN(AD75)&gt;=6," / "&amp;VLOOKUP(RIGHT(LEFT(AD75,6),2),Voorblad!$X$67:$Y$98,2),"")&amp;IF(LEN(AD75)&gt;=8," / "&amp;VLOOKUP(RIGHT(LEFT(AD75,8),2),Voorblad!$X$67:$Y$98,2),"")</f>
        <v/>
      </c>
      <c r="AE79" s="478" t="str">
        <f>IF(LEN(AE75)&gt;=2,VLOOKUP(LEFT(AE75,2),Voorblad!$X$67:$Y$98,2),"")&amp;IF(LEN(AE75)&gt;=4," / "&amp;VLOOKUP(RIGHT(LEFT(AE75,4),2),Voorblad!$X$67:$Y$98,2),"")&amp;IF(LEN(AE75)&gt;=6," / "&amp;VLOOKUP(RIGHT(LEFT(AE75,6),2),Voorblad!$X$67:$Y$98,2),"")&amp;IF(LEN(AE75)&gt;=8," / "&amp;VLOOKUP(RIGHT(LEFT(AE75,8),2),Voorblad!$X$67:$Y$98,2),"")</f>
        <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FOUT</v>
      </c>
      <c r="AD86" s="512" t="str">
        <f>IF(ISBLANK($AA$84),"LEEG",IF($AC$87="nvt","nvt",IF(LEN($AD$87)&lt;&gt;LEN(SUBSTITUTE($AD$87,".","controle")),"GOED","FOUT")))</f>
        <v>nvt</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t="str">
        <f>IF(LEN(AA84)&lt;10,LEN(AA84)&amp;"#",LEN(AA84))</f>
        <v>0#</v>
      </c>
      <c r="AB87" s="198"/>
      <c r="AC87" s="513" t="str">
        <f>IF(AC86="GOED",SEARCH("@",$AA$84),"nvt")</f>
        <v>nvt</v>
      </c>
      <c r="AD87" s="513" t="str">
        <f>IF(AC87="nvt","nvt",RIGHT(AA84,LEN(AA84)-AC87))</f>
        <v>nvt</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|0#</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LEEG</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JsZsA7NDglxS8Fccg+/wBvFVCKJKnkSMgBMtWQ32TiWOg1qHBS1P6NTmFhMVi3t/6noRdR0T70IyG3sSyvOaCA==" saltValue="uylGLx73AkOt+7VIYdla8g=="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PVH - Necarex EK 2024 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IF(AND(Y18&lt;&gt;1,Y19="GOED"),LOOKUP(Y18,S16:S19,V16:V19),"")</f>
        <v/>
      </c>
      <c r="Z5" s="834" t="str">
        <f>IF(AND(Z18&lt;&gt;1,Z19="GOED"),LOOKUP(Z18,S21:S24,V21:V24),"")</f>
        <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IF(AND(Y16&lt;&gt;1,Y17="GOED"),LOOKUP(Y16,S16:S19,V16:V19),"")</f>
        <v/>
      </c>
      <c r="Z6" s="834" t="str">
        <f>IF(AND(Y28&lt;&gt;1,Y29="GOED"),LOOKUP(Y28,S26:S29,V26:V29),"")</f>
        <v/>
      </c>
      <c r="AA6" s="266" t="s">
        <v>1871</v>
      </c>
      <c r="AB6" s="269" t="s">
        <v>274</v>
      </c>
      <c r="AC6" s="266"/>
      <c r="AD6" s="143"/>
      <c r="AE6" s="143" t="s">
        <v>9</v>
      </c>
      <c r="AF6" s="143" t="str">
        <f>IF($AC$7=1,IF(COUNTIF(Groepswedstrijden!$Y$25:$Z$30,"GOED")=12,"JA","NEE"),IF($AC$11=1,IF(COUNTIF(#REF!,"GOED")=6,"JA","NEE"),"n.v.t."))</f>
        <v>NEE</v>
      </c>
      <c r="AG6" s="143"/>
      <c r="AH6" s="143" t="str">
        <f>IF($AC$7=1,IF(COUNTIF(Groepswedstrijden!$AB$25:$AC$30,"GOED")=12,"JA","NEE"),IF($AC$11=1,IF(COUNTIF(#REF!,"GOED")=6,"JA","NEE"),"n.v.t."))</f>
        <v>NEE</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IF(AND(Y26&lt;&gt;1,Y27="GOED"),LOOKUP(Y26,S26:S29,V26:V29),"")</f>
        <v/>
      </c>
      <c r="Z7" s="834" t="str">
        <f>IF(AND(Z30&lt;&gt;1,Z31="GOED"),LOOKUP(Z30,S31:S34,V31:V34),"")&amp;IF(AND(Y40&lt;&gt;1,Y41="GOED"),LOOKUP(Y40,S36:S39,V36:V39),"")&amp;IF(AND(Z40&lt;&gt;1,Z41="GOED"),LOOKUP(Z40,S41:S44,V41:V44),"")</f>
        <v/>
      </c>
      <c r="AA7" s="266" t="s">
        <v>1872</v>
      </c>
      <c r="AB7" s="268" t="str">
        <f>Groepswedstrijden!V72</f>
        <v>©2024 Eric de Jong v24.00dh</v>
      </c>
      <c r="AC7" s="266">
        <f>IF(TYPE(AB7)=2,1,0)</f>
        <v>1</v>
      </c>
      <c r="AD7" s="143"/>
      <c r="AE7" s="143" t="s">
        <v>22</v>
      </c>
      <c r="AF7" s="143" t="str">
        <f>IF($AC$7=1,IF(COUNTIF(Groepswedstrijden!$Y$35:$Z$40,"GOED")=12,"JA","NEE"),IF($AC$11=1,IF(COUNTIF(#REF!,"GOED")=6,"JA","NEE"),"n.v.t."))</f>
        <v>NEE</v>
      </c>
      <c r="AG7" s="143"/>
      <c r="AH7" s="143" t="str">
        <f>IF($AC$7=1,IF(COUNTIF(Groepswedstrijden!$AB$35:$AC$40,"GOED")=12,"JA","NEE"),IF($AC$11=1,IF(COUNTIF(#REF!,"GOED")=6,"JA","NEE"),"n.v.t."))</f>
        <v>NEE</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IF(AND(Z16&lt;&gt;1,Z17="GOED"),LOOKUP(Z16,S21:S24,V21:V24),"")</f>
        <v/>
      </c>
      <c r="Z8" s="834" t="str">
        <f>IF(AND(Y20&lt;&gt;1,Y21="GOED"),LOOKUP(Y20,S16:S19,V16:V19),"")&amp;IF(AND(Z30&lt;&gt;1,Z31="GOED"),LOOKUP(Z30,S31:S34,V31:V34),"")&amp;IF(AND(Y40&lt;&gt;1,Y41="GOED"),LOOKUP(Y40,S36:S39,V36:V39),"")&amp;IF(AND(Z40&lt;&gt;1,Z41="GOED"),LOOKUP(Z40,S41:S44,V41:V44),"")</f>
        <v/>
      </c>
      <c r="AA8" s="266" t="s">
        <v>1873</v>
      </c>
      <c r="AB8" s="266"/>
      <c r="AC8" s="266"/>
      <c r="AD8" s="143"/>
      <c r="AE8" s="143" t="s">
        <v>105</v>
      </c>
      <c r="AF8" s="143" t="str">
        <f>IF($AC$7=1,IF(COUNTIF(Groepswedstrijden!$Y$45:$Z$50,"GOED")=12,"JA","NEE"),IF($AC$11=1,IF(COUNTIF(#REF!,"GOED")=6,"JA","NEE"),"n.v.t."))</f>
        <v>NEE</v>
      </c>
      <c r="AG8" s="143"/>
      <c r="AH8" s="143" t="str">
        <f>IF($AC$7=1,IF(COUNTIF(Groepswedstrijden!$AB$45:$AC$50,"GOED")=12,"JA","NEE"),IF($AC$11=1,IF(COUNTIF(#REF!,"GOED")=6,"JA","NEE"),"n.v.t."))</f>
        <v>NEE</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IF(AND(Z28&lt;&gt;1,Z29="GOED"),LOOKUP(Z28,S31:S34,V31:V34),"")</f>
        <v/>
      </c>
      <c r="Z9" s="834" t="str">
        <f>IF(AND(Y38&lt;&gt;1,Y39="GOED"),LOOKUP(Y38,S36:S39,V36:V39),"")</f>
        <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IF(AND(Z36&lt;&gt;1,Z37="GOED"),LOOKUP(Z36,S41:S44,V41:V44),"")</f>
        <v/>
      </c>
      <c r="Z10" s="834" t="str">
        <f>IF(AND(Y20&lt;&gt;1,Y21="GOED"),LOOKUP(Y20,S16:S19,V16:V19),"")&amp;IF(AND(Z20&lt;&gt;1,Z21="GOED"),LOOKUP(Z20,S21:S24,V21:V24),"")&amp;IF(AND(Y30&lt;&gt;1,Y31="GOED"),LOOKUP(Y30,S26:S29,V26:V29),"")</f>
        <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IF(AND(Y36&lt;&gt;1,Y37="GOED"),LOOKUP(Y36,S36:S39,V36:V39),"")</f>
        <v/>
      </c>
      <c r="Z11" s="834" t="str">
        <f>IF(AND(Y20&lt;&gt;1,Y21="GOED"),LOOKUP(Y20,S16:S19,V16:V19),"")&amp;IF(AND(Z20&lt;&gt;1,Z21="GOED"),LOOKUP(Z20,S21:S24,V21:V24),"")&amp;IF(AND(Y30&lt;&gt;1,Y31="GOED"),LOOKUP(Y30,S26:S29,V26:V29),"")&amp;IF(AND(Z30&lt;&gt;1,Z31="GOED"),LOOKUP(Z30,S31:S34,V31:V34),"")</f>
        <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IF(AND(Z26&lt;&gt;1,Z27="GOED"),LOOKUP(Z26,S31:S34,V31:V34),"")</f>
        <v/>
      </c>
      <c r="Z12" s="834" t="str">
        <f>IF(AND(Z38&lt;&gt;1,Z39="GOED"),LOOKUP(Z38,S41:S44,V41:V44),"")</f>
        <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IF(AND(TYPE(Y16)=1,TYPE(Y18)=1,TYPE(Y20)=1,TYPE(Y22)=1),IF(AND(Y17="GOED",Y19="GOED",Y21="GOED",Y23="GOED"),LOOKUP(Y16,S16:S19,U16:U19)&amp;"."&amp;LOOKUP(Y18,S16:S19,U16:U19)&amp;"."&amp;LOOKUP(Y20,S16:S19,U16:U19)&amp;"."&amp;LOOKUP(Y22,S16:S19,U16:U19)&amp;"|","FOUT"),"ONGELDIG")</f>
        <v>FOUT</v>
      </c>
      <c r="Z15" s="162" t="str">
        <f>IF(AND(TYPE(Z16)=1,TYPE(Z18)=1,TYPE(Z20)=1,TYPE(Z22)=1),IF(AND(Z17="GOED",Z19="GOED",Z21="GOED",Z23="GOED"),LOOKUP(Z16,S21:S24,U21:U24)&amp;"."&amp;LOOKUP(Z18,S21:S24,U21:U24)&amp;"."&amp;LOOKUP(Z20,S21:S24,U21:U24)&amp;"."&amp;LOOKUP(Z22,S21:S24,U21:U24)&amp;"|","FOUT"),"ONGELDIG")</f>
        <v>FOUT</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c r="F16" s="587" t="str">
        <f>IF(Y17="LEEG","▼","")</f>
        <v>▼</v>
      </c>
      <c r="G16" s="17"/>
      <c r="H16" s="741"/>
      <c r="I16" s="741"/>
      <c r="J16" s="17"/>
      <c r="K16" s="335" t="s">
        <v>212</v>
      </c>
      <c r="L16" s="821"/>
      <c r="M16" s="587" t="str">
        <f>IF(Z17="LEEG","▼","")</f>
        <v>▼</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1</v>
      </c>
      <c r="Z16" s="144">
        <f>IF(ISBLANK(L16),1,IF(SUBSTITUTE(W21,L16,"#")&lt;&gt;W21,2,IF(SUBSTITUTE(W22,L16,"#")&lt;&gt;W22,3,IF(SUBSTITUTE(W23,L16,"#")&lt;&gt;W23,4,IF(SUBSTITUTE(W24,L16,"#")&lt;&gt;W24,5,6)))))</f>
        <v>1</v>
      </c>
      <c r="AA16" s="263" t="str">
        <f ca="1">RIGHT(V16,1)</f>
        <v>1</v>
      </c>
      <c r="AB16" s="265" t="str">
        <f>Groepswedstrijden!Z76</f>
        <v/>
      </c>
      <c r="AC16" s="64" t="e">
        <f>#REF!</f>
        <v>#REF!</v>
      </c>
      <c r="AD16" s="143">
        <f ca="1">IF($AC$7=1,VLOOKUP($V16,Groepswedstrijden!$AH$12:$BA$78,20,FALSE),IF($AC$11=1,VLOOKUP($V16,#REF!,20,FALSE),""))</f>
        <v>4</v>
      </c>
      <c r="AE16" s="186" t="str">
        <f ca="1">IF($AC$7=1,VLOOKUP($V16,Groepswedstrijden!$AH$12:$BA$78,3,FALSE),IF($AC$11=1,VLOOKUP($V16,#REF!,3,FALSE),""))</f>
        <v>Duitsland</v>
      </c>
      <c r="AF16" s="143">
        <f ca="1">IF($AC$7=1,VLOOKUP($V16,Groepswedstrijden!$AH$12:$BA$78,9,FALSE),IF($AC$11=1,VLOOKUP($V16,#REF!,9,FALSE),""))</f>
        <v>0</v>
      </c>
      <c r="AG16" s="143">
        <f ca="1">IF($AC$7=1,VLOOKUP($V16,Groepswedstrijden!$AH$12:$BA$78,10,FALSE),IF($AC$11=1,VLOOKUP($V16,#REF!,10,FALSE),""))</f>
        <v>0</v>
      </c>
      <c r="AH16" s="143">
        <f ca="1">IF($AC$7=1,VLOOKUP($V16,Groepswedstrijden!$AH$12:$BA$78,11,FALSE),IF($AC$11=1,VLOOKUP($V16,#REF!,11,FALSE),""))</f>
        <v>0</v>
      </c>
      <c r="AI16" s="219">
        <f ca="1">IF($AC$7=1,VLOOKUP($V16,Groepswedstrijden!$AH$12:$BA$78,19,FALSE),IF($AC$11=1,VLOOKUP($V16,#REF!,19,FALSE),""))</f>
        <v>5000003500001</v>
      </c>
      <c r="AJ16" s="224">
        <f ca="1">FLOOR(IF($AD16=1,AI16,IF($AD17=1,AI17,IF($AD18=1,AI18,AI19)))/10,1)</f>
        <v>500000350000</v>
      </c>
      <c r="AL16" s="1159" t="str">
        <f ca="1">AE15</f>
        <v>GROEP A</v>
      </c>
      <c r="AM16" s="336" t="s">
        <v>67</v>
      </c>
      <c r="AN16" s="337" t="str">
        <f ca="1">IF($AD16=1,AE16,IF($AD17=1,AE17,IF($AD18=1,AE18,AE19)))</f>
        <v>Zwitserland</v>
      </c>
      <c r="AO16" s="338">
        <f ca="1">IF($AD16=1,AF16,IF($AD17=1,AF17,IF($AD18=1,AF18,AF19)))</f>
        <v>0</v>
      </c>
      <c r="AP16" s="338">
        <f ca="1">IF($AD16=1,AG16,IF($AD17=1,AG17,IF($AD18=1,AG18,AG19)))</f>
        <v>0</v>
      </c>
      <c r="AQ16" s="338">
        <f ca="1">IF($AD16=1,AH16,IF($AD17=1,AH17,IF($AD18=1,AH18,AH19)))</f>
        <v>0</v>
      </c>
    </row>
    <row r="17" spans="2:43" s="166" customFormat="1" ht="20.100000000000001" customHeight="1" x14ac:dyDescent="0.25">
      <c r="B17" s="17"/>
      <c r="C17" s="949"/>
      <c r="D17" s="1153" t="str">
        <f ca="1">IF($S$12=1,IF($AC$7=1,AB16,IF($AC$11=1,AC16,"")),IF(AND($S$12=2,OR($Y$17="LEEG",$Y$17="ONGELDIG")),IF($AC$7=1,AB16,IF($AC$11=1,AC16,"")),""))</f>
        <v/>
      </c>
      <c r="E17" s="1153"/>
      <c r="F17" s="1153"/>
      <c r="G17" s="1153"/>
      <c r="H17" s="1153"/>
      <c r="I17" s="1153"/>
      <c r="J17" s="17"/>
      <c r="K17" s="1153" t="str">
        <f ca="1">IF($S$12=1,IF($AC$7=1,AB21,IF($AC$11=1,AC21,"")),IF(AND($S$12=2,OR($Z$17="LEEG",$Z$17="ONGELDIG")),IF($AC$7=1,AB21,IF($AC$11=1,AC21,"")),""))</f>
        <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LEEG</v>
      </c>
      <c r="Z17" s="144" t="str">
        <f>IF(Z16=1, "LEEG",IF(AND(Z16&gt;1,Z16&lt;6,TYPE(Z16+Z18+Z20+Z22)=1),IF(OR(Z16=Z18,Z16=Z20,Z16=Z22),"DUBBEL","GOED"),"ONGELDIG"))</f>
        <v>LEEG</v>
      </c>
      <c r="AA17" s="263" t="str">
        <f ca="1">RIGHT(V17,1)</f>
        <v>2</v>
      </c>
      <c r="AB17" s="265" t="str">
        <f>Groepswedstrijden!Z77</f>
        <v/>
      </c>
      <c r="AC17" s="64" t="e">
        <f>#REF!</f>
        <v>#REF!</v>
      </c>
      <c r="AD17" s="143">
        <f ca="1">IF($AC$7=1,VLOOKUP($V17,Groepswedstrijden!$AH$12:$BA$78,20,FALSE),IF($AC$11=1,VLOOKUP($V17,#REF!,20,FALSE),""))</f>
        <v>2</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0</v>
      </c>
      <c r="AH17" s="143">
        <f ca="1">IF($AC$7=1,VLOOKUP($V17,Groepswedstrijden!$AH$12:$BA$78,11,FALSE),IF($AC$11=1,VLOOKUP($V17,#REF!,11,FALSE),""))</f>
        <v>0</v>
      </c>
      <c r="AI17" s="219">
        <f ca="1">IF($AC$7=1,VLOOKUP($V17,Groepswedstrijden!$AH$12:$BA$78,19,FALSE),IF($AC$11=1,VLOOKUP($V17,#REF!,19,FALSE),""))</f>
        <v>5000003500003</v>
      </c>
      <c r="AJ17" s="224">
        <f ca="1">FLOOR(IF($AD16=2,AI16,IF($AD17=2,AI17,IF($AD18=2,AI18,AI19)))/10,1)</f>
        <v>500000350000</v>
      </c>
      <c r="AL17" s="1160"/>
      <c r="AM17" s="339" t="str">
        <f ca="1">IF(AJ17=AJ16,"","2.")</f>
        <v/>
      </c>
      <c r="AN17" s="340" t="str">
        <f ca="1">IF($AD16=2,AE16,IF($AD17=2,AE17,IF($AD18=2,AE18,AE19)))</f>
        <v>Schotland</v>
      </c>
      <c r="AO17" s="341">
        <f ca="1">IF($AD16=2,AF16,IF($AD17=2,AF17,IF($AD18=2,AF18,AF19)))</f>
        <v>0</v>
      </c>
      <c r="AP17" s="341">
        <f ca="1">IF($AD16=2,AG16,IF($AD17=2,AG17,IF($AD18=2,AG18,AG19)))</f>
        <v>0</v>
      </c>
      <c r="AQ17" s="341">
        <f ca="1">IF($AD16=2,AH16,IF($AD17=2,AH17,IF($AD18=2,AH18,AH19)))</f>
        <v>0</v>
      </c>
    </row>
    <row r="18" spans="2:43" s="166" customFormat="1" ht="15" customHeight="1" x14ac:dyDescent="0.25">
      <c r="B18" s="17"/>
      <c r="C18" s="949"/>
      <c r="D18" s="335" t="s">
        <v>213</v>
      </c>
      <c r="E18" s="820"/>
      <c r="F18" s="587" t="str">
        <f>IF(Y19="LEEG","▼","")</f>
        <v>▼</v>
      </c>
      <c r="G18" s="17"/>
      <c r="H18" s="17"/>
      <c r="I18" s="17"/>
      <c r="J18" s="17"/>
      <c r="K18" s="335" t="s">
        <v>213</v>
      </c>
      <c r="L18" s="821"/>
      <c r="M18" s="587" t="str">
        <f>IF(Z19="LEEG","▼","")</f>
        <v>▼</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1</v>
      </c>
      <c r="Z18" s="144">
        <f>IF(ISBLANK(L18),1,IF(SUBSTITUTE(W21,L18,"#")&lt;&gt;W21,2,IF(SUBSTITUTE(W22,L18,"#")&lt;&gt;W22,3,IF(SUBSTITUTE(W23,L18,"#")&lt;&gt;W23,4,IF(SUBSTITUTE(W24,L18,"#")&lt;&gt;W24,5,6)))))</f>
        <v>1</v>
      </c>
      <c r="AA18" s="263" t="str">
        <f ca="1">RIGHT(V18,1)</f>
        <v>3</v>
      </c>
      <c r="AB18" s="265" t="str">
        <f>Groepswedstrijden!Z78</f>
        <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0</v>
      </c>
      <c r="AH18" s="143">
        <f ca="1">IF($AC$7=1,VLOOKUP($V18,Groepswedstrijden!$AH$12:$BA$78,11,FALSE),IF($AC$11=1,VLOOKUP($V18,#REF!,11,FALSE),""))</f>
        <v>0</v>
      </c>
      <c r="AI18" s="219">
        <f ca="1">IF($AC$7=1,VLOOKUP($V18,Groepswedstrijden!$AH$12:$BA$78,19,FALSE),IF($AC$11=1,VLOOKUP($V18,#REF!,19,FALSE),""))</f>
        <v>5000003500002</v>
      </c>
      <c r="AJ18" s="224">
        <f ca="1">FLOOR(IF($AD16=3,AI16,IF($AD17=3,AI17,IF($AD18=3,AI18,AI19)))/10,1)</f>
        <v>500000350000</v>
      </c>
      <c r="AL18" s="1160"/>
      <c r="AM18" s="339" t="str">
        <f ca="1">IF(AJ18=AJ17,"","3.")</f>
        <v/>
      </c>
      <c r="AN18" s="340" t="str">
        <f ca="1">IF($AD16=3,AE16,IF($AD17=3,AE17,IF($AD18=3,AE18,AE19)))</f>
        <v>Hongarije</v>
      </c>
      <c r="AO18" s="341">
        <f ca="1">IF($AD16=3,AF16,IF($AD17=3,AF17,IF($AD18=3,AF18,AF19)))</f>
        <v>0</v>
      </c>
      <c r="AP18" s="341">
        <f ca="1">IF($AD16=3,AG16,IF($AD17=3,AG17,IF($AD18=3,AG18,AG19)))</f>
        <v>0</v>
      </c>
      <c r="AQ18" s="341">
        <f ca="1">IF($AD16=3,AH16,IF($AD17=3,AH17,IF($AD18=3,AH18,AH19)))</f>
        <v>0</v>
      </c>
    </row>
    <row r="19" spans="2:43" s="166" customFormat="1" ht="20.100000000000001" customHeight="1" x14ac:dyDescent="0.25">
      <c r="B19" s="17"/>
      <c r="C19" s="949"/>
      <c r="D19" s="1153" t="str">
        <f ca="1">IF($S$12=1,IF($AC$7=1,AB17,IF($AC$11=1,AC17,"")),IF(AND($S$12=2,OR($Y$19="LEEG",$Y$19="ONGELDIG")),IF($AC$7=1,AB17,IF($AC$11=1,AC17,"")),""))</f>
        <v/>
      </c>
      <c r="E19" s="1153"/>
      <c r="F19" s="1153"/>
      <c r="G19" s="1153"/>
      <c r="H19" s="1153"/>
      <c r="I19" s="1153"/>
      <c r="J19" s="17"/>
      <c r="K19" s="1153" t="str">
        <f ca="1">IF($S$12=1,IF($AC$7=1,AB22,IF($AC$11=1,AC22,"")),IF(AND($S$12=2,OR($Z$19="LEEG",$Z$19="ONGELDIG")),IF($AC$7=1,AB22,IF($AC$11=1,AC22,"")),""))</f>
        <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LEEG</v>
      </c>
      <c r="Z19" s="144" t="str">
        <f>IF(Z18=1, "LEEG",IF(AND(Z18&gt;1,Z18&lt;6,TYPE(Z16+Z18+Z20+Z22)=1),IF(OR(Z18=Z16,Z18=Z20,Z18=Z22),"DUBBEL","GOED"),"ONGELDIG"))</f>
        <v>LEEG</v>
      </c>
      <c r="AA19" s="263" t="str">
        <f ca="1">RIGHT(V19,1)</f>
        <v>4</v>
      </c>
      <c r="AB19" s="265" t="str">
        <f>Groepswedstrijden!Z79</f>
        <v/>
      </c>
      <c r="AC19" s="64" t="e">
        <f>#REF!</f>
        <v>#REF!</v>
      </c>
      <c r="AD19" s="143">
        <f ca="1">IF($AC$7=1,VLOOKUP($V19,Groepswedstrijden!$AH$12:$BA$78,20,FALSE),IF($AC$11=1,VLOOKUP($V19,#REF!,20,FALSE),""))</f>
        <v>1</v>
      </c>
      <c r="AE19" s="186" t="str">
        <f ca="1">IF($AC$7=1,VLOOKUP($V19,Groepswedstrijden!$AH$12:$BA$78,3,FALSE),IF($AC$11=1,VLOOKUP($V19,#REF!,3,FALSE),""))</f>
        <v>Zwitserland</v>
      </c>
      <c r="AF19" s="143">
        <f ca="1">IF($AC$7=1,VLOOKUP($V19,Groepswedstrijden!$AH$12:$BA$78,9,FALSE),IF($AC$11=1,VLOOKUP($V19,#REF!,9,FALSE),""))</f>
        <v>0</v>
      </c>
      <c r="AG19" s="143">
        <f ca="1">IF($AC$7=1,VLOOKUP($V19,Groepswedstrijden!$AH$12:$BA$78,10,FALSE),IF($AC$11=1,VLOOKUP($V19,#REF!,10,FALSE),""))</f>
        <v>0</v>
      </c>
      <c r="AH19" s="143">
        <f ca="1">IF($AC$7=1,VLOOKUP($V19,Groepswedstrijden!$AH$12:$BA$78,11,FALSE),IF($AC$11=1,VLOOKUP($V19,#REF!,11,FALSE),""))</f>
        <v>0</v>
      </c>
      <c r="AI19" s="219">
        <f ca="1">IF($AC$7=1,VLOOKUP($V19,Groepswedstrijden!$AH$12:$BA$78,19,FALSE),IF($AC$11=1,VLOOKUP($V19,#REF!,19,FALSE),""))</f>
        <v>5000003500004</v>
      </c>
      <c r="AJ19" s="224">
        <f ca="1">FLOOR(IF($AD16=4,AI16,IF($AD17=4,AI17,IF($AD18=4,AI18,AI19)))/10,1)</f>
        <v>500000350000</v>
      </c>
      <c r="AL19" s="1161"/>
      <c r="AM19" s="342" t="str">
        <f ca="1">IF(AJ19=AJ18,"","4.")</f>
        <v/>
      </c>
      <c r="AN19" s="343" t="str">
        <f ca="1">IF($AD16=4,AE16,IF($AD17=4,AE17,IF($AD18=4,AE18,AE19)))</f>
        <v>Duitsland</v>
      </c>
      <c r="AO19" s="344">
        <f ca="1">IF($AD16=4,AF16,IF($AD17=4,AF17,IF($AD18=4,AF18,AF19)))</f>
        <v>0</v>
      </c>
      <c r="AP19" s="344">
        <f ca="1">IF($AD16=4,AG16,IF($AD17=4,AG17,IF($AD18=4,AG18,AG19)))</f>
        <v>0</v>
      </c>
      <c r="AQ19" s="344">
        <f ca="1">IF($AD16=4,AH16,IF($AD17=4,AH17,IF($AD18=4,AH18,AH19)))</f>
        <v>0</v>
      </c>
    </row>
    <row r="20" spans="2:43" ht="15" customHeight="1" x14ac:dyDescent="0.25">
      <c r="B20" s="17"/>
      <c r="C20" s="949"/>
      <c r="D20" s="335" t="s">
        <v>214</v>
      </c>
      <c r="E20" s="820"/>
      <c r="F20" s="587" t="str">
        <f>IF(Y21="LEEG","▼","")</f>
        <v>▼</v>
      </c>
      <c r="G20" s="17"/>
      <c r="H20" s="17"/>
      <c r="I20" s="17"/>
      <c r="J20" s="17"/>
      <c r="K20" s="335" t="s">
        <v>214</v>
      </c>
      <c r="L20" s="821"/>
      <c r="M20" s="587" t="str">
        <f>IF(Z21="LEEG","▼","")</f>
        <v>▼</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1</v>
      </c>
      <c r="Z20" s="144">
        <f>IF(ISBLANK(L20),1,IF(SUBSTITUTE(W21,L20,"#")&lt;&gt;W21,2,IF(SUBSTITUTE(W22,L20,"#")&lt;&gt;W22,3,IF(SUBSTITUTE(W23,L20,"#")&lt;&gt;W23,4,IF(SUBSTITUTE(W24,L20,"#")&lt;&gt;W24,5,6)))))</f>
        <v>1</v>
      </c>
      <c r="AA20" s="64"/>
      <c r="AB20" s="264" t="str">
        <f ca="1">UPPER(Taal04!$B$26)&amp;" "&amp;V20</f>
        <v>GROEP B</v>
      </c>
      <c r="AC20" s="263" t="str">
        <f ca="1">AB20</f>
        <v>GROEP B</v>
      </c>
      <c r="AD20" s="143"/>
      <c r="AE20" s="187" t="str">
        <f ca="1">AB20</f>
        <v>GROEP B</v>
      </c>
      <c r="AF20" s="143"/>
      <c r="AG20" s="143"/>
      <c r="AH20" s="143"/>
      <c r="AI20" s="219"/>
      <c r="AJ20" s="223"/>
      <c r="AL20" s="602" t="str">
        <f ca="1">IF(AF6="JA","","└ "&amp;SUBSTITUTE(Taal04!B62,"#",RIGHT(AL16,1)))</f>
        <v>└ LET OP: niet alle wedstrijden in groep A zijn ingevuld.</v>
      </c>
      <c r="AM20" s="601"/>
      <c r="AP20" s="603"/>
      <c r="AQ20" s="603"/>
    </row>
    <row r="21" spans="2:43" ht="20.100000000000001" customHeight="1" x14ac:dyDescent="0.25">
      <c r="B21" s="17"/>
      <c r="C21" s="949"/>
      <c r="D21" s="1153" t="str">
        <f ca="1">IF($S$12=1,IF($AC$7=1,AB18,IF($AC$11=1,AC18,"")),IF(AND($S$12=2,OR($Y$21="LEEG",$Y$21="ONGELDIG")),IF($AC$7=1,AB18,IF($AC$11=1,AC18,"")),""))</f>
        <v/>
      </c>
      <c r="E21" s="1153"/>
      <c r="F21" s="1153"/>
      <c r="G21" s="1153"/>
      <c r="H21" s="1153"/>
      <c r="I21" s="1153"/>
      <c r="J21" s="17"/>
      <c r="K21" s="1153" t="str">
        <f ca="1">IF($S$12=1,IF($AC$7=1,AB23,IF($AC$11=1,AC23,"")),IF(AND($S$12=2,OR($Z$21="LEEG",$Z$21="ONGELDIG")),IF($AC$7=1,AB23,IF($AC$11=1,AC23,"")),""))</f>
        <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LEEG</v>
      </c>
      <c r="Z21" s="144" t="str">
        <f>IF(Z20=1, "LEEG",IF(AND(Z20&gt;1,Z20&lt;6,TYPE(Z16+Z18+Z20+Z22)=1),IF(OR(Z20=Z16,Z20=Z18,Z20=Z22),"DUBBEL","GOED"),"ONGELDIG"))</f>
        <v>LEEG</v>
      </c>
      <c r="AA21" s="263" t="str">
        <f ca="1">RIGHT(V21,1)</f>
        <v>1</v>
      </c>
      <c r="AB21" s="265" t="str">
        <f>Groepswedstrijden!AA76</f>
        <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0</v>
      </c>
      <c r="AG21" s="143">
        <f ca="1">IF($AC$7=1,VLOOKUP($V21,Groepswedstrijden!$AH$12:$BA$78,10,FALSE),IF($AC$11=1,VLOOKUP($V21,#REF!,10,FALSE),""))</f>
        <v>0</v>
      </c>
      <c r="AH21" s="143">
        <f ca="1">IF($AC$7=1,VLOOKUP($V21,Groepswedstrijden!$AH$12:$BA$78,11,FALSE),IF($AC$11=1,VLOOKUP($V21,#REF!,11,FALSE),""))</f>
        <v>0</v>
      </c>
      <c r="AI21" s="219">
        <f ca="1">IF($AC$7=1,VLOOKUP($V21,Groepswedstrijden!$AH$12:$BA$78,19,FALSE),IF($AC$11=1,VLOOKUP($V21,#REF!,19,FALSE),""))</f>
        <v>5000003500004</v>
      </c>
      <c r="AJ21" s="224">
        <f ca="1">FLOOR(IF($AD21=1,AI21,IF($AD22=1,AI22,IF($AD23=1,AI23,AI24)))/10,1)</f>
        <v>500000350000</v>
      </c>
      <c r="AL21" s="1159" t="str">
        <f ca="1">AE20</f>
        <v>GROEP B</v>
      </c>
      <c r="AM21" s="336" t="s">
        <v>67</v>
      </c>
      <c r="AN21" s="337" t="str">
        <f ca="1">IF($AD21=1,AE21,IF($AD22=1,AE22,IF($AD23=1,AE23,AE24)))</f>
        <v>Spanje</v>
      </c>
      <c r="AO21" s="338">
        <f ca="1">IF($AD21=1,AF21,IF($AD22=1,AF22,IF($AD23=1,AF23,AF24)))</f>
        <v>0</v>
      </c>
      <c r="AP21" s="338">
        <f ca="1">IF($AD21=1,AG21,IF($AD22=1,AG22,IF($AD23=1,AG23,AG24)))</f>
        <v>0</v>
      </c>
      <c r="AQ21" s="338">
        <f ca="1">IF($AD21=1,AH21,IF($AD22=1,AH22,IF($AD23=1,AH23,AH24)))</f>
        <v>0</v>
      </c>
    </row>
    <row r="22" spans="2:43" ht="15" customHeight="1" x14ac:dyDescent="0.25">
      <c r="B22" s="17"/>
      <c r="C22" s="949"/>
      <c r="D22" s="335" t="s">
        <v>215</v>
      </c>
      <c r="E22" s="820"/>
      <c r="F22" s="587" t="str">
        <f>IF(Y23="LEEG","▼","")</f>
        <v>▼</v>
      </c>
      <c r="G22" s="17"/>
      <c r="H22" s="17"/>
      <c r="I22" s="17"/>
      <c r="J22" s="17"/>
      <c r="K22" s="335" t="s">
        <v>215</v>
      </c>
      <c r="L22" s="821"/>
      <c r="M22" s="587" t="str">
        <f>IF(Z23="LEEG","▼","")</f>
        <v>▼</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1</v>
      </c>
      <c r="Z22" s="144">
        <f>IF(ISBLANK(L22),1,IF(SUBSTITUTE(W21,L22,"#")&lt;&gt;W21,2,IF(SUBSTITUTE(W22,L22,"#")&lt;&gt;W22,3,IF(SUBSTITUTE(W23,L22,"#")&lt;&gt;W23,4,IF(SUBSTITUTE(W24,L22,"#")&lt;&gt;W24,5,6)))))</f>
        <v>1</v>
      </c>
      <c r="AA22" s="263" t="str">
        <f ca="1">RIGHT(V22,1)</f>
        <v>2</v>
      </c>
      <c r="AB22" s="265" t="str">
        <f>Groepswedstrijden!AA77</f>
        <v/>
      </c>
      <c r="AC22" s="64" t="e">
        <f>#REF!</f>
        <v>#REF!</v>
      </c>
      <c r="AD22" s="143">
        <f ca="1">IF($AC$7=1,VLOOKUP($V22,Groepswedstrijden!$AH$12:$BA$78,20,FALSE),IF($AC$11=1,VLOOKUP($V22,#REF!,20,FALSE),""))</f>
        <v>2</v>
      </c>
      <c r="AE22" s="186" t="str">
        <f ca="1">IF($AC$7=1,VLOOKUP($V22,Groepswedstrijden!$AH$12:$BA$78,3,FALSE),IF($AC$11=1,VLOOKUP($V22,#REF!,3,FALSE),""))</f>
        <v>Kroatië</v>
      </c>
      <c r="AF22" s="143">
        <f ca="1">IF($AC$7=1,VLOOKUP($V22,Groepswedstrijden!$AH$12:$BA$78,9,FALSE),IF($AC$11=1,VLOOKUP($V22,#REF!,9,FALSE),""))</f>
        <v>0</v>
      </c>
      <c r="AG22" s="143">
        <f ca="1">IF($AC$7=1,VLOOKUP($V22,Groepswedstrijden!$AH$12:$BA$78,10,FALSE),IF($AC$11=1,VLOOKUP($V22,#REF!,10,FALSE),""))</f>
        <v>0</v>
      </c>
      <c r="AH22" s="143">
        <f ca="1">IF($AC$7=1,VLOOKUP($V22,Groepswedstrijden!$AH$12:$BA$78,11,FALSE),IF($AC$11=1,VLOOKUP($V22,#REF!,11,FALSE),""))</f>
        <v>0</v>
      </c>
      <c r="AI22" s="219">
        <f ca="1">IF($AC$7=1,VLOOKUP($V22,Groepswedstrijden!$AH$12:$BA$78,19,FALSE),IF($AC$11=1,VLOOKUP($V22,#REF!,19,FALSE),""))</f>
        <v>5000003500003</v>
      </c>
      <c r="AJ22" s="224">
        <f ca="1">FLOOR(IF($AD21=2,AI21,IF($AD22=2,AI22,IF($AD23=2,AI23,AI24)))/10,1)</f>
        <v>500000350000</v>
      </c>
      <c r="AL22" s="1160"/>
      <c r="AM22" s="339" t="str">
        <f ca="1">IF(AJ22=AJ21,"","2.")</f>
        <v/>
      </c>
      <c r="AN22" s="340" t="str">
        <f ca="1">IF($AD21=2,AE21,IF($AD22=2,AE22,IF($AD23=2,AE23,AE24)))</f>
        <v>Kroatië</v>
      </c>
      <c r="AO22" s="341">
        <f ca="1">IF($AD21=2,AF21,IF($AD22=2,AF22,IF($AD23=2,AF23,AF24)))</f>
        <v>0</v>
      </c>
      <c r="AP22" s="341">
        <f ca="1">IF($AD21=2,AG21,IF($AD22=2,AG22,IF($AD23=2,AG23,AG24)))</f>
        <v>0</v>
      </c>
      <c r="AQ22" s="341">
        <f ca="1">IF($AD21=2,AH21,IF($AD22=2,AH22,IF($AD23=2,AH23,AH24)))</f>
        <v>0</v>
      </c>
    </row>
    <row r="23" spans="2:43" ht="20.100000000000001" customHeight="1" x14ac:dyDescent="0.25">
      <c r="B23" s="17"/>
      <c r="C23" s="949"/>
      <c r="D23" s="1153" t="str">
        <f ca="1">IF($S$12=1,IF($AC$7=1,AB19,IF($AC$11=1,AC19,"")),IF(AND($S$12=2,OR($Y$23="LEEG",$Y$23="ONGELDIG")),IF($AC$7=1,AB19,IF($AC$11=1,AC19,"")),""))</f>
        <v/>
      </c>
      <c r="E23" s="1153"/>
      <c r="F23" s="1153"/>
      <c r="G23" s="1153"/>
      <c r="H23" s="1153"/>
      <c r="I23" s="1153"/>
      <c r="J23" s="17"/>
      <c r="K23" s="1153" t="str">
        <f ca="1">IF($S$12=1,IF($AC$7=1,AB24,IF($AC$11=1,AC24,"")),IF(AND($S$12=2,OR($Z$23="LEEG",$Z$23="ONGELDIG")),IF($AC$7=1,AB24,IF($AC$11=1,AC24,"")),""))</f>
        <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LEEG</v>
      </c>
      <c r="Z23" s="144" t="str">
        <f>IF(Z22=1, "LEEG",IF(AND(Z22&gt;1,Z22&lt;6,TYPE(Z16+Z18+Z20+Z22)=1),IF(OR(Z22=Z16,Z22=Z18,Z22=Z20),"DUBBEL","GOED"),"ONGELDIG"))</f>
        <v>LEEG</v>
      </c>
      <c r="AA23" s="263" t="str">
        <f ca="1">RIGHT(V23,1)</f>
        <v>3</v>
      </c>
      <c r="AB23" s="265" t="str">
        <f>Groepswedstrijden!AA78</f>
        <v/>
      </c>
      <c r="AC23" s="64" t="e">
        <f>#REF!</f>
        <v>#REF!</v>
      </c>
      <c r="AD23" s="143">
        <f ca="1">IF($AC$7=1,VLOOKUP($V23,Groepswedstrijden!$AH$12:$BA$78,20,FALSE),IF($AC$11=1,VLOOKUP($V23,#REF!,20,FALSE),""))</f>
        <v>3</v>
      </c>
      <c r="AE23" s="186" t="str">
        <f ca="1">IF($AC$7=1,VLOOKUP($V23,Groepswedstrijden!$AH$12:$BA$78,3,FALSE),IF($AC$11=1,VLOOKUP($V23,#REF!,3,FALSE),""))</f>
        <v>Italië</v>
      </c>
      <c r="AF23" s="143">
        <f ca="1">IF($AC$7=1,VLOOKUP($V23,Groepswedstrijden!$AH$12:$BA$78,9,FALSE),IF($AC$11=1,VLOOKUP($V23,#REF!,9,FALSE),""))</f>
        <v>0</v>
      </c>
      <c r="AG23" s="143">
        <f ca="1">IF($AC$7=1,VLOOKUP($V23,Groepswedstrijden!$AH$12:$BA$78,10,FALSE),IF($AC$11=1,VLOOKUP($V23,#REF!,10,FALSE),""))</f>
        <v>0</v>
      </c>
      <c r="AH23" s="143">
        <f ca="1">IF($AC$7=1,VLOOKUP($V23,Groepswedstrijden!$AH$12:$BA$78,11,FALSE),IF($AC$11=1,VLOOKUP($V23,#REF!,11,FALSE),""))</f>
        <v>0</v>
      </c>
      <c r="AI23" s="219">
        <f ca="1">IF($AC$7=1,VLOOKUP($V23,Groepswedstrijden!$AH$12:$BA$78,19,FALSE),IF($AC$11=1,VLOOKUP($V23,#REF!,19,FALSE),""))</f>
        <v>5000003500002</v>
      </c>
      <c r="AJ23" s="224">
        <f ca="1">FLOOR(IF($AD21=3,AI21,IF($AD22=3,AI22,IF($AD23=3,AI23,AI24)))/10,1)</f>
        <v>500000350000</v>
      </c>
      <c r="AL23" s="1160"/>
      <c r="AM23" s="339" t="str">
        <f ca="1">IF(AJ23=AJ22,"","3.")</f>
        <v/>
      </c>
      <c r="AN23" s="340" t="str">
        <f ca="1">IF($AD21=3,AE21,IF($AD22=3,AE22,IF($AD23=3,AE23,AE24)))</f>
        <v>Italië</v>
      </c>
      <c r="AO23" s="341">
        <f ca="1">IF($AD21=3,AF21,IF($AD22=3,AF22,IF($AD23=3,AF23,AF24)))</f>
        <v>0</v>
      </c>
      <c r="AP23" s="341">
        <f ca="1">IF($AD21=3,AG21,IF($AD22=3,AG22,IF($AD23=3,AG23,AG24)))</f>
        <v>0</v>
      </c>
      <c r="AQ23" s="341">
        <f ca="1">IF($AD21=3,AH21,IF($AD22=3,AH22,IF($AD23=3,AH23,AH24)))</f>
        <v>0</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41</v>
      </c>
      <c r="Z24" s="405" t="str">
        <f>IF(TYPE(1*((Z16+Z18+Z20+Z22)&amp;(Z16*Z18*Z20*Z22)))=1,(Z16+Z18+Z20+Z22)&amp;(Z16*Z18*Z20*Z22),14120)</f>
        <v>41</v>
      </c>
      <c r="AA24" s="263" t="str">
        <f ca="1">RIGHT(V24,1)</f>
        <v>4</v>
      </c>
      <c r="AB24" s="265" t="str">
        <f>Groepswedstrijden!AA79</f>
        <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0</v>
      </c>
      <c r="AI24" s="219">
        <f ca="1">IF($AC$7=1,VLOOKUP($V24,Groepswedstrijden!$AH$12:$BA$78,19,FALSE),IF($AC$11=1,VLOOKUP($V24,#REF!,19,FALSE),""))</f>
        <v>5000003500001</v>
      </c>
      <c r="AJ24" s="224">
        <f ca="1">FLOOR(IF($AD21=4,AI21,IF($AD22=4,AI22,IF($AD23=4,AI23,AI24)))/10,1)</f>
        <v>500000350000</v>
      </c>
      <c r="AL24" s="1161"/>
      <c r="AM24" s="342" t="str">
        <f ca="1">IF(AJ24=AJ23,"","4.")</f>
        <v/>
      </c>
      <c r="AN24" s="343" t="str">
        <f ca="1">IF($AD21=4,AE21,IF($AD22=4,AE22,IF($AD23=4,AE23,AE24)))</f>
        <v>Albanië</v>
      </c>
      <c r="AO24" s="344">
        <f ca="1">IF($AD21=4,AF21,IF($AD22=4,AF22,IF($AD23=4,AF23,AF24)))</f>
        <v>0</v>
      </c>
      <c r="AP24" s="344">
        <f ca="1">IF($AD21=4,AG21,IF($AD22=4,AG22,IF($AD23=4,AG23,AG24)))</f>
        <v>0</v>
      </c>
      <c r="AQ24" s="344">
        <f ca="1">IF($AD21=4,AH21,IF($AD22=4,AH22,IF($AD23=4,AH23,AH24)))</f>
        <v>0</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IF(AND(TYPE(Y26)=1,TYPE(Y28)=1,TYPE(Y30)=1,TYPE(Y32)=1),IF(AND(Y27="GOED",Y29="GOED",Y31="GOED",Y33="GOED"),LOOKUP(Y26,S26:S29,U26:U29)&amp;"."&amp;LOOKUP(Y28,S26:S29,U26:U29)&amp;"."&amp;LOOKUP(Y30,S26:S29,U26:U29)&amp;"."&amp;LOOKUP(Y32,S26:S29,U26:U29)&amp;"|","FOUT"),"ONGELDIG")</f>
        <v>FOUT</v>
      </c>
      <c r="Z25" s="162" t="str">
        <f>IF(AND(TYPE(Z26)=1,TYPE(Z28)=1,TYPE(Z30)=1,TYPE(Z32)=1),IF(AND(Z27="GOED",Z29="GOED",Z31="GOED",Z33="GOED"),LOOKUP(Z26,S31:S34,U31:U34)&amp;"."&amp;LOOKUP(Z28,S31:S34,U31:U34)&amp;"."&amp;LOOKUP(Z30,S31:S34,U31:U34)&amp;"."&amp;LOOKUP(Z32,S31:S34,U31:U34)&amp;"|","FOUT"),"ONGELDIG")</f>
        <v>FOUT</v>
      </c>
      <c r="AA25" s="64"/>
      <c r="AB25" s="264" t="str">
        <f ca="1">UPPER(Taal04!$B$26)&amp;" "&amp;V25</f>
        <v>GROEP C</v>
      </c>
      <c r="AC25" s="263" t="str">
        <f ca="1">AB25</f>
        <v>GROEP C</v>
      </c>
      <c r="AD25" s="143"/>
      <c r="AE25" s="187" t="str">
        <f ca="1">AB25</f>
        <v>GROEP C</v>
      </c>
      <c r="AF25" s="143"/>
      <c r="AG25" s="143"/>
      <c r="AH25" s="143"/>
      <c r="AI25" s="219"/>
      <c r="AJ25" s="223"/>
      <c r="AL25" s="602" t="str">
        <f ca="1">IF(AH6="JA","","└ "&amp;SUBSTITUTE(Taal04!B62,"#",RIGHT(AL21,1)))</f>
        <v>└ LET OP: niet alle wedstrijden in groep B zijn ingevuld.</v>
      </c>
    </row>
    <row r="26" spans="2:43" ht="15" customHeight="1" x14ac:dyDescent="0.25">
      <c r="B26" s="17"/>
      <c r="C26" s="949"/>
      <c r="D26" s="335" t="s">
        <v>212</v>
      </c>
      <c r="E26" s="820"/>
      <c r="F26" s="587" t="str">
        <f>IF(Y27="LEEG","▼","")</f>
        <v>▼</v>
      </c>
      <c r="G26" s="17"/>
      <c r="H26" s="741"/>
      <c r="I26" s="741"/>
      <c r="J26" s="17"/>
      <c r="K26" s="335" t="s">
        <v>212</v>
      </c>
      <c r="L26" s="821"/>
      <c r="M26" s="587" t="str">
        <f>IF(Z27="LEEG","▼","")</f>
        <v>▼</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1</v>
      </c>
      <c r="Z26" s="144">
        <f>IF(ISBLANK(L26),1,IF(SUBSTITUTE(W31,L26,"#")&lt;&gt;W31,2,IF(SUBSTITUTE(W32,L26,"#")&lt;&gt;W32,3,IF(SUBSTITUTE(W33,L26,"#")&lt;&gt;W33,4,IF(SUBSTITUTE(W34,L26,"#")&lt;&gt;W34,5,6)))))</f>
        <v>1</v>
      </c>
      <c r="AA26" s="263" t="str">
        <f ca="1">RIGHT(V26,1)</f>
        <v>1</v>
      </c>
      <c r="AB26" s="265" t="str">
        <f>Groepswedstrijden!AB76</f>
        <v/>
      </c>
      <c r="AC26" s="64" t="e">
        <f>#REF!</f>
        <v>#REF!</v>
      </c>
      <c r="AD26" s="143">
        <f ca="1">IF($AC$7=1,VLOOKUP($V26,Groepswedstrijden!$AH$12:$BA$78,20,FALSE),IF($AC$11=1,VLOOKUP($V26,#REF!,20,FALSE),""))</f>
        <v>1</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0</v>
      </c>
      <c r="AH26" s="143">
        <f ca="1">IF($AC$7=1,VLOOKUP($V26,Groepswedstrijden!$AH$12:$BA$78,11,FALSE),IF($AC$11=1,VLOOKUP($V26,#REF!,11,FALSE),""))</f>
        <v>0</v>
      </c>
      <c r="AI26" s="219">
        <f ca="1">IF($AC$7=1,VLOOKUP($V26,Groepswedstrijden!$AH$12:$BA$78,19,FALSE),IF($AC$11=1,VLOOKUP($V26,#REF!,19,FALSE),""))</f>
        <v>5000003500004</v>
      </c>
      <c r="AJ26" s="224">
        <f ca="1">FLOOR(IF($AD26=1,AI26,IF($AD27=1,AI27,IF($AD28=1,AI28,AI29)))/10,1)</f>
        <v>500000350000</v>
      </c>
      <c r="AL26" s="1159" t="str">
        <f ca="1">AE25</f>
        <v>GROEP C</v>
      </c>
      <c r="AM26" s="336" t="s">
        <v>67</v>
      </c>
      <c r="AN26" s="337" t="str">
        <f ca="1">IF($AD26=1,AE26,IF($AD27=1,AE27,IF($AD28=1,AE28,AE29)))</f>
        <v>Slovenië</v>
      </c>
      <c r="AO26" s="338">
        <f ca="1">IF($AD26=1,AF26,IF($AD27=1,AF27,IF($AD28=1,AF28,AF29)))</f>
        <v>0</v>
      </c>
      <c r="AP26" s="338">
        <f ca="1">IF($AD26=1,AG26,IF($AD27=1,AG27,IF($AD28=1,AG28,AG29)))</f>
        <v>0</v>
      </c>
      <c r="AQ26" s="338">
        <f ca="1">IF($AD26=1,AH26,IF($AD27=1,AH27,IF($AD28=1,AH28,AH29)))</f>
        <v>0</v>
      </c>
    </row>
    <row r="27" spans="2:43" ht="20.100000000000001" customHeight="1" x14ac:dyDescent="0.25">
      <c r="B27" s="17"/>
      <c r="C27" s="949"/>
      <c r="D27" s="1153" t="str">
        <f ca="1">IF($S$12=1,IF($AC$7=1,AB26,IF($AC$11=1,AC26,"")),IF(AND($S$12=2,OR($Y$27="LEEG",$Y$27="ONGELDIG")),IF($AC$7=1,AB26,IF($AC$11=1,AC26,"")),""))</f>
        <v/>
      </c>
      <c r="E27" s="1153"/>
      <c r="F27" s="1153"/>
      <c r="G27" s="1153"/>
      <c r="H27" s="1153"/>
      <c r="I27" s="1153"/>
      <c r="J27" s="17"/>
      <c r="K27" s="1153" t="str">
        <f ca="1">IF($S$12=1,IF($AC$7=1,AB31,IF($AC$11=1,AC31,"")),IF(AND($S$12=2,OR($Z$27="LEEG",$Z$27="ONGELDIG")),IF($AC$7=1,AB31,IF($AC$11=1,AC31,"")),""))</f>
        <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LEEG</v>
      </c>
      <c r="Z27" s="144" t="str">
        <f>IF(Z26=1, "LEEG",IF(AND(Z26&gt;1,Z26&lt;6,TYPE(Z26+Z28+Z30+Z32)=1),IF(OR(Z26=Z28,Z26=Z30,Z26=Z32),"DUBBEL","GOED"),"ONGELDIG"))</f>
        <v>LEEG</v>
      </c>
      <c r="AA27" s="263" t="str">
        <f ca="1">RIGHT(V27,1)</f>
        <v>2</v>
      </c>
      <c r="AB27" s="265" t="str">
        <f>Groepswedstrijden!AB77</f>
        <v/>
      </c>
      <c r="AC27" s="64" t="e">
        <f>#REF!</f>
        <v>#REF!</v>
      </c>
      <c r="AD27" s="143">
        <f ca="1">IF($AC$7=1,VLOOKUP($V27,Groepswedstrijden!$AH$12:$BA$78,20,FALSE),IF($AC$11=1,VLOOKUP($V27,#REF!,20,FALSE),""))</f>
        <v>4</v>
      </c>
      <c r="AE27" s="186" t="str">
        <f ca="1">IF($AC$7=1,VLOOKUP($V27,Groepswedstrijden!$AH$12:$BA$78,3,FALSE),IF($AC$11=1,VLOOKUP($V27,#REF!,3,FALSE),""))</f>
        <v>Denemarken</v>
      </c>
      <c r="AF27" s="143">
        <f ca="1">IF($AC$7=1,VLOOKUP($V27,Groepswedstrijden!$AH$12:$BA$78,9,FALSE),IF($AC$11=1,VLOOKUP($V27,#REF!,9,FALSE),""))</f>
        <v>0</v>
      </c>
      <c r="AG27" s="143">
        <f ca="1">IF($AC$7=1,VLOOKUP($V27,Groepswedstrijden!$AH$12:$BA$78,10,FALSE),IF($AC$11=1,VLOOKUP($V27,#REF!,10,FALSE),""))</f>
        <v>0</v>
      </c>
      <c r="AH27" s="143">
        <f ca="1">IF($AC$7=1,VLOOKUP($V27,Groepswedstrijden!$AH$12:$BA$78,11,FALSE),IF($AC$11=1,VLOOKUP($V27,#REF!,11,FALSE),""))</f>
        <v>0</v>
      </c>
      <c r="AI27" s="219">
        <f ca="1">IF($AC$7=1,VLOOKUP($V27,Groepswedstrijden!$AH$12:$BA$78,19,FALSE),IF($AC$11=1,VLOOKUP($V27,#REF!,19,FALSE),""))</f>
        <v>5000003500001</v>
      </c>
      <c r="AJ27" s="224">
        <f ca="1">FLOOR(IF($AD26=2,AI26,IF($AD27=2,AI27,IF($AD28=2,AI28,AI29)))/10,1)</f>
        <v>500000350000</v>
      </c>
      <c r="AL27" s="1160"/>
      <c r="AM27" s="339" t="str">
        <f ca="1">IF(AJ27=AJ26,"","2.")</f>
        <v/>
      </c>
      <c r="AN27" s="340" t="str">
        <f ca="1">IF($AD26=2,AE26,IF($AD27=2,AE27,IF($AD28=2,AE28,AE29)))</f>
        <v>Servië</v>
      </c>
      <c r="AO27" s="341">
        <f ca="1">IF($AD26=2,AF26,IF($AD27=2,AF27,IF($AD28=2,AF28,AF29)))</f>
        <v>0</v>
      </c>
      <c r="AP27" s="341">
        <f ca="1">IF($AD26=2,AG26,IF($AD27=2,AG27,IF($AD28=2,AG28,AG29)))</f>
        <v>0</v>
      </c>
      <c r="AQ27" s="341">
        <f ca="1">IF($AD26=2,AH26,IF($AD27=2,AH27,IF($AD28=2,AH28,AH29)))</f>
        <v>0</v>
      </c>
    </row>
    <row r="28" spans="2:43" ht="15" customHeight="1" x14ac:dyDescent="0.25">
      <c r="B28" s="17"/>
      <c r="C28" s="949"/>
      <c r="D28" s="335" t="s">
        <v>213</v>
      </c>
      <c r="E28" s="820"/>
      <c r="F28" s="587" t="str">
        <f>IF(Y29="LEEG","▼","")</f>
        <v>▼</v>
      </c>
      <c r="G28" s="17"/>
      <c r="H28" s="17"/>
      <c r="I28" s="17"/>
      <c r="J28" s="17"/>
      <c r="K28" s="335" t="s">
        <v>213</v>
      </c>
      <c r="L28" s="821"/>
      <c r="M28" s="587" t="str">
        <f>IF(Z29="LEEG","▼","")</f>
        <v>▼</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1</v>
      </c>
      <c r="Z28" s="144">
        <f>IF(ISBLANK(L28),1,IF(SUBSTITUTE(W31,L28,"#")&lt;&gt;W31,2,IF(SUBSTITUTE(W32,L28,"#")&lt;&gt;W32,3,IF(SUBSTITUTE(W33,L28,"#")&lt;&gt;W33,4,IF(SUBSTITUTE(W34,L28,"#")&lt;&gt;W34,5,6)))))</f>
        <v>1</v>
      </c>
      <c r="AA28" s="263" t="str">
        <f ca="1">RIGHT(V28,1)</f>
        <v>3</v>
      </c>
      <c r="AB28" s="265" t="str">
        <f>Groepswedstrijden!AB78</f>
        <v/>
      </c>
      <c r="AC28" s="64" t="e">
        <f>#REF!</f>
        <v>#REF!</v>
      </c>
      <c r="AD28" s="143">
        <f ca="1">IF($AC$7=1,VLOOKUP($V28,Groepswedstrijden!$AH$12:$BA$78,20,FALSE),IF($AC$11=1,VLOOKUP($V28,#REF!,20,FALSE),""))</f>
        <v>2</v>
      </c>
      <c r="AE28" s="186" t="str">
        <f ca="1">IF($AC$7=1,VLOOKUP($V28,Groepswedstrijden!$AH$12:$BA$78,3,FALSE),IF($AC$11=1,VLOOKUP($V28,#REF!,3,FALSE),""))</f>
        <v>Servië</v>
      </c>
      <c r="AF28" s="143">
        <f ca="1">IF($AC$7=1,VLOOKUP($V28,Groepswedstrijden!$AH$12:$BA$78,9,FALSE),IF($AC$11=1,VLOOKUP($V28,#REF!,9,FALSE),""))</f>
        <v>0</v>
      </c>
      <c r="AG28" s="143">
        <f ca="1">IF($AC$7=1,VLOOKUP($V28,Groepswedstrijden!$AH$12:$BA$78,10,FALSE),IF($AC$11=1,VLOOKUP($V28,#REF!,10,FALSE),""))</f>
        <v>0</v>
      </c>
      <c r="AH28" s="143">
        <f ca="1">IF($AC$7=1,VLOOKUP($V28,Groepswedstrijden!$AH$12:$BA$78,11,FALSE),IF($AC$11=1,VLOOKUP($V28,#REF!,11,FALSE),""))</f>
        <v>0</v>
      </c>
      <c r="AI28" s="219">
        <f ca="1">IF($AC$7=1,VLOOKUP($V28,Groepswedstrijden!$AH$12:$BA$78,19,FALSE),IF($AC$11=1,VLOOKUP($V28,#REF!,19,FALSE),""))</f>
        <v>5000003500003</v>
      </c>
      <c r="AJ28" s="224">
        <f ca="1">FLOOR(IF($AD26=3,AI26,IF($AD27=3,AI27,IF($AD28=3,AI28,AI29)))/10,1)</f>
        <v>500000350000</v>
      </c>
      <c r="AL28" s="1160"/>
      <c r="AM28" s="339" t="str">
        <f ca="1">IF(AJ28=AJ27,"","3.")</f>
        <v/>
      </c>
      <c r="AN28" s="340" t="str">
        <f ca="1">IF($AD26=3,AE26,IF($AD27=3,AE27,IF($AD28=3,AE28,AE29)))</f>
        <v>Engeland</v>
      </c>
      <c r="AO28" s="341">
        <f ca="1">IF($AD26=3,AF26,IF($AD27=3,AF27,IF($AD28=3,AF28,AF29)))</f>
        <v>0</v>
      </c>
      <c r="AP28" s="341">
        <f ca="1">IF($AD26=3,AG26,IF($AD27=3,AG27,IF($AD28=3,AG28,AG29)))</f>
        <v>0</v>
      </c>
      <c r="AQ28" s="341">
        <f ca="1">IF($AD26=3,AH26,IF($AD27=3,AH27,IF($AD28=3,AH28,AH29)))</f>
        <v>0</v>
      </c>
    </row>
    <row r="29" spans="2:43" ht="20.100000000000001" customHeight="1" x14ac:dyDescent="0.25">
      <c r="B29" s="17"/>
      <c r="C29" s="949"/>
      <c r="D29" s="1153" t="str">
        <f ca="1">IF($S$12=1,IF($AC$7=1,AB27,IF($AC$11=1,AC27,"")),IF(AND($S$12=2,OR($Y$29="LEEG",$Y$29="ONGELDIG")),IF($AC$7=1,AB27,IF($AC$11=1,AC27,"")),""))</f>
        <v/>
      </c>
      <c r="E29" s="1153"/>
      <c r="F29" s="1153"/>
      <c r="G29" s="1153"/>
      <c r="H29" s="1153"/>
      <c r="I29" s="1153"/>
      <c r="J29" s="17"/>
      <c r="K29" s="1153" t="str">
        <f ca="1">IF($S$12=1,IF($AC$7=1,AB32,IF($AC$11=1,AC32,"")),IF(AND($S$12=2,OR($Z$29="LEEG",$Z$29="ONGELDIG")),IF($AC$7=1,AB32,IF($AC$11=1,AC32,"")),""))</f>
        <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LEEG</v>
      </c>
      <c r="Z29" s="144" t="str">
        <f>IF(Z28=1, "LEEG",IF(AND(Z28&gt;1,Z28&lt;6,TYPE(Z26+Z28+Z30+Z32)=1),IF(OR(Z28=Z26,Z28=Z30,Z28=Z32),"DUBBEL","GOED"),"ONGELDIG"))</f>
        <v>LEEG</v>
      </c>
      <c r="AA29" s="263" t="str">
        <f ca="1">RIGHT(V29,1)</f>
        <v>4</v>
      </c>
      <c r="AB29" s="265" t="str">
        <f>Groepswedstrijden!AB79</f>
        <v/>
      </c>
      <c r="AC29" s="64" t="e">
        <f>#REF!</f>
        <v>#REF!</v>
      </c>
      <c r="AD29" s="143">
        <f ca="1">IF($AC$7=1,VLOOKUP($V29,Groepswedstrijden!$AH$12:$BA$78,20,FALSE),IF($AC$11=1,VLOOKUP($V29,#REF!,20,FALSE),""))</f>
        <v>3</v>
      </c>
      <c r="AE29" s="186" t="str">
        <f ca="1">IF($AC$7=1,VLOOKUP($V29,Groepswedstrijden!$AH$12:$BA$78,3,FALSE),IF($AC$11=1,VLOOKUP($V29,#REF!,3,FALSE),""))</f>
        <v>Engeland</v>
      </c>
      <c r="AF29" s="143">
        <f ca="1">IF($AC$7=1,VLOOKUP($V29,Groepswedstrijden!$AH$12:$BA$78,9,FALSE),IF($AC$11=1,VLOOKUP($V29,#REF!,9,FALSE),""))</f>
        <v>0</v>
      </c>
      <c r="AG29" s="143">
        <f ca="1">IF($AC$7=1,VLOOKUP($V29,Groepswedstrijden!$AH$12:$BA$78,10,FALSE),IF($AC$11=1,VLOOKUP($V29,#REF!,10,FALSE),""))</f>
        <v>0</v>
      </c>
      <c r="AH29" s="143">
        <f ca="1">IF($AC$7=1,VLOOKUP($V29,Groepswedstrijden!$AH$12:$BA$78,11,FALSE),IF($AC$11=1,VLOOKUP($V29,#REF!,11,FALSE),""))</f>
        <v>0</v>
      </c>
      <c r="AI29" s="219">
        <f ca="1">IF($AC$7=1,VLOOKUP($V29,Groepswedstrijden!$AH$12:$BA$78,19,FALSE),IF($AC$11=1,VLOOKUP($V29,#REF!,19,FALSE),""))</f>
        <v>5000003500002</v>
      </c>
      <c r="AJ29" s="224">
        <f ca="1">FLOOR(IF($AD26=4,AI26,IF($AD27=4,AI27,IF($AD28=4,AI28,AI29)))/10,1)</f>
        <v>500000350000</v>
      </c>
      <c r="AL29" s="1161"/>
      <c r="AM29" s="342" t="str">
        <f ca="1">IF(AJ29=AJ28,"","4.")</f>
        <v/>
      </c>
      <c r="AN29" s="343" t="str">
        <f ca="1">IF($AD26=4,AE26,IF($AD27=4,AE27,IF($AD28=4,AE28,AE29)))</f>
        <v>Denemarken</v>
      </c>
      <c r="AO29" s="344">
        <f ca="1">IF($AD26=4,AF26,IF($AD27=4,AF27,IF($AD28=4,AF28,AF29)))</f>
        <v>0</v>
      </c>
      <c r="AP29" s="344">
        <f ca="1">IF($AD26=4,AG26,IF($AD27=4,AG27,IF($AD28=4,AG28,AG29)))</f>
        <v>0</v>
      </c>
      <c r="AQ29" s="344">
        <f ca="1">IF($AD26=4,AH26,IF($AD27=4,AH27,IF($AD28=4,AH28,AH29)))</f>
        <v>0</v>
      </c>
    </row>
    <row r="30" spans="2:43" ht="15" customHeight="1" x14ac:dyDescent="0.25">
      <c r="B30" s="17"/>
      <c r="C30" s="949"/>
      <c r="D30" s="335" t="s">
        <v>214</v>
      </c>
      <c r="E30" s="820"/>
      <c r="F30" s="587" t="str">
        <f>IF(Y31="LEEG","▼","")</f>
        <v>▼</v>
      </c>
      <c r="G30" s="17"/>
      <c r="H30" s="17"/>
      <c r="I30" s="17"/>
      <c r="J30" s="17"/>
      <c r="K30" s="335" t="s">
        <v>214</v>
      </c>
      <c r="L30" s="821"/>
      <c r="M30" s="587" t="str">
        <f>IF(Z31="LEEG","▼","")</f>
        <v>▼</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1</v>
      </c>
      <c r="Z30" s="144">
        <f>IF(ISBLANK(L30),1,IF(SUBSTITUTE(W31,L30,"#")&lt;&gt;W31,2,IF(SUBSTITUTE(W32,L30,"#")&lt;&gt;W32,3,IF(SUBSTITUTE(W33,L30,"#")&lt;&gt;W33,4,IF(SUBSTITUTE(W34,L30,"#")&lt;&gt;W34,5,6)))))</f>
        <v>1</v>
      </c>
      <c r="AA30" s="64"/>
      <c r="AB30" s="264" t="str">
        <f ca="1">UPPER(Taal04!$B$26)&amp;" "&amp;V30</f>
        <v>GROEP D</v>
      </c>
      <c r="AC30" s="263" t="str">
        <f ca="1">AB30</f>
        <v>GROEP D</v>
      </c>
      <c r="AD30" s="143"/>
      <c r="AE30" s="187" t="str">
        <f ca="1">AB30</f>
        <v>GROEP D</v>
      </c>
      <c r="AF30" s="143"/>
      <c r="AG30" s="143"/>
      <c r="AH30" s="143"/>
      <c r="AI30" s="219"/>
      <c r="AJ30" s="223"/>
      <c r="AL30" s="602" t="str">
        <f ca="1">IF(AF7="JA","","└ "&amp;SUBSTITUTE(Taal04!B62,"#",RIGHT(AL26,1)))</f>
        <v>└ LET OP: niet alle wedstrijden in groep C zijn ingevuld.</v>
      </c>
      <c r="AM30" s="601"/>
      <c r="AP30" s="603"/>
      <c r="AQ30" s="603"/>
    </row>
    <row r="31" spans="2:43" ht="20.100000000000001" customHeight="1" x14ac:dyDescent="0.25">
      <c r="B31" s="17"/>
      <c r="C31" s="949"/>
      <c r="D31" s="1153" t="str">
        <f ca="1">IF($S$12=1,IF($AC$7=1,AB28,IF($AC$11=1,AC28,"")),IF(AND($S$12=2,OR($Y$31="LEEG",$Y$31="ONGELDIG")),IF($AC$7=1,AB28,IF($AC$11=1,AC28,"")),""))</f>
        <v/>
      </c>
      <c r="E31" s="1153"/>
      <c r="F31" s="1153"/>
      <c r="G31" s="1153"/>
      <c r="H31" s="1153"/>
      <c r="I31" s="1153"/>
      <c r="J31" s="17"/>
      <c r="K31" s="1153" t="str">
        <f ca="1">IF($S$12=1,IF($AC$7=1,AB33,IF($AC$11=1,AC33,"")),IF(AND($S$12=2,OR($Z$31="LEEG",$Z$31="ONGELDIG")),IF($AC$7=1,AB33,IF($AC$11=1,AC33,"")),""))</f>
        <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LEEG</v>
      </c>
      <c r="Z31" s="144" t="str">
        <f>IF(Z30=1, "LEEG",IF(AND(Z30&gt;1,Z30&lt;6,TYPE(Z26+Z28+Z30+Z32)=1),IF(OR(Z30=Z26,Z30=Z28,Z30=Z32),"DUBBEL","GOED"),"ONGELDIG"))</f>
        <v>LEEG</v>
      </c>
      <c r="AA31" s="263" t="str">
        <f ca="1">RIGHT(V31,1)</f>
        <v>1</v>
      </c>
      <c r="AB31" s="265" t="str">
        <f>Groepswedstrijden!AC76</f>
        <v/>
      </c>
      <c r="AC31" s="64" t="e">
        <f>#REF!</f>
        <v>#REF!</v>
      </c>
      <c r="AD31" s="143">
        <f ca="1">IF($AC$7=1,VLOOKUP($V31,Groepswedstrijden!$AH$12:$BA$78,20,FALSE),IF($AC$11=1,VLOOKUP($V31,#REF!,20,FALSE),""))</f>
        <v>1</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0</v>
      </c>
      <c r="AH31" s="143">
        <f ca="1">IF($AC$7=1,VLOOKUP($V31,Groepswedstrijden!$AH$12:$BA$78,11,FALSE),IF($AC$11=1,VLOOKUP($V31,#REF!,11,FALSE),""))</f>
        <v>0</v>
      </c>
      <c r="AI31" s="219">
        <f ca="1">IF($AC$7=1,VLOOKUP($V31,Groepswedstrijden!$AH$12:$BA$78,19,FALSE),IF($AC$11=1,VLOOKUP($V31,#REF!,19,FALSE),""))</f>
        <v>5000003500004</v>
      </c>
      <c r="AJ31" s="224">
        <f ca="1">FLOOR(IF($AD31=1,AI31,IF($AD32=1,AI32,IF($AD33=1,AI33,AI34)))/10,1)</f>
        <v>500000350000</v>
      </c>
      <c r="AL31" s="1159" t="str">
        <f ca="1">AE30</f>
        <v>GROEP D</v>
      </c>
      <c r="AM31" s="336" t="s">
        <v>67</v>
      </c>
      <c r="AN31" s="337" t="str">
        <f ca="1">IF($AD31=1,AE31,IF($AD32=1,AE32,IF($AD33=1,AE33,AE34)))</f>
        <v>Polen</v>
      </c>
      <c r="AO31" s="338">
        <f ca="1">IF($AD31=1,AF31,IF($AD32=1,AF32,IF($AD33=1,AF33,AF34)))</f>
        <v>0</v>
      </c>
      <c r="AP31" s="338">
        <f ca="1">IF($AD31=1,AG31,IF($AD32=1,AG32,IF($AD33=1,AG33,AG34)))</f>
        <v>0</v>
      </c>
      <c r="AQ31" s="338">
        <f ca="1">IF($AD31=1,AH31,IF($AD32=1,AH32,IF($AD33=1,AH33,AH34)))</f>
        <v>0</v>
      </c>
    </row>
    <row r="32" spans="2:43" ht="15" customHeight="1" x14ac:dyDescent="0.25">
      <c r="B32" s="17"/>
      <c r="C32" s="949"/>
      <c r="D32" s="335" t="s">
        <v>215</v>
      </c>
      <c r="E32" s="820"/>
      <c r="F32" s="587" t="str">
        <f>IF(Y33="LEEG","▼","")</f>
        <v>▼</v>
      </c>
      <c r="G32" s="17"/>
      <c r="H32" s="17"/>
      <c r="I32" s="17"/>
      <c r="J32" s="17"/>
      <c r="K32" s="335" t="s">
        <v>215</v>
      </c>
      <c r="L32" s="821"/>
      <c r="M32" s="587" t="str">
        <f>IF(Z33="LEEG","▼","")</f>
        <v>▼</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1</v>
      </c>
      <c r="Z32" s="144">
        <f>IF(ISBLANK(L32),1,IF(SUBSTITUTE(W31,L32,"#")&lt;&gt;W31,2,IF(SUBSTITUTE(W32,L32,"#")&lt;&gt;W32,3,IF(SUBSTITUTE(W33,L32,"#")&lt;&gt;W33,4,IF(SUBSTITUTE(W34,L32,"#")&lt;&gt;W34,5,6)))))</f>
        <v>1</v>
      </c>
      <c r="AA32" s="263" t="str">
        <f ca="1">RIGHT(V32,1)</f>
        <v>2</v>
      </c>
      <c r="AB32" s="265" t="str">
        <f>Groepswedstrijden!AC77</f>
        <v/>
      </c>
      <c r="AC32" s="64" t="e">
        <f>#REF!</f>
        <v>#REF!</v>
      </c>
      <c r="AD32" s="143">
        <f ca="1">IF($AC$7=1,VLOOKUP($V32,Groepswedstrijden!$AH$12:$BA$78,20,FALSE),IF($AC$11=1,VLOOKUP($V32,#REF!,20,FALSE),""))</f>
        <v>3</v>
      </c>
      <c r="AE32" s="186" t="str">
        <f ca="1">IF($AC$7=1,VLOOKUP($V32,Groepswedstrijden!$AH$12:$BA$78,3,FALSE),IF($AC$11=1,VLOOKUP($V32,#REF!,3,FALSE),""))</f>
        <v>Nederland</v>
      </c>
      <c r="AF32" s="143">
        <f ca="1">IF($AC$7=1,VLOOKUP($V32,Groepswedstrijden!$AH$12:$BA$78,9,FALSE),IF($AC$11=1,VLOOKUP($V32,#REF!,9,FALSE),""))</f>
        <v>0</v>
      </c>
      <c r="AG32" s="143">
        <f ca="1">IF($AC$7=1,VLOOKUP($V32,Groepswedstrijden!$AH$12:$BA$78,10,FALSE),IF($AC$11=1,VLOOKUP($V32,#REF!,10,FALSE),""))</f>
        <v>0</v>
      </c>
      <c r="AH32" s="143">
        <f ca="1">IF($AC$7=1,VLOOKUP($V32,Groepswedstrijden!$AH$12:$BA$78,11,FALSE),IF($AC$11=1,VLOOKUP($V32,#REF!,11,FALSE),""))</f>
        <v>0</v>
      </c>
      <c r="AI32" s="219">
        <f ca="1">IF($AC$7=1,VLOOKUP($V32,Groepswedstrijden!$AH$12:$BA$78,19,FALSE),IF($AC$11=1,VLOOKUP($V32,#REF!,19,FALSE),""))</f>
        <v>5000003500002</v>
      </c>
      <c r="AJ32" s="224">
        <f ca="1">FLOOR(IF($AD31=2,AI31,IF($AD32=2,AI32,IF($AD33=2,AI33,AI34)))/10,1)</f>
        <v>500000350000</v>
      </c>
      <c r="AL32" s="1160"/>
      <c r="AM32" s="339" t="str">
        <f ca="1">IF(AJ32=AJ31,"","2.")</f>
        <v/>
      </c>
      <c r="AN32" s="340" t="str">
        <f ca="1">IF($AD31=2,AE31,IF($AD32=2,AE32,IF($AD33=2,AE33,AE34)))</f>
        <v>Oostenrijk</v>
      </c>
      <c r="AO32" s="341">
        <f ca="1">IF($AD31=2,AF31,IF($AD32=2,AF32,IF($AD33=2,AF33,AF34)))</f>
        <v>0</v>
      </c>
      <c r="AP32" s="341">
        <f ca="1">IF($AD31=2,AG31,IF($AD32=2,AG32,IF($AD33=2,AG33,AG34)))</f>
        <v>0</v>
      </c>
      <c r="AQ32" s="341">
        <f ca="1">IF($AD31=2,AH31,IF($AD32=2,AH32,IF($AD33=2,AH33,AH34)))</f>
        <v>0</v>
      </c>
    </row>
    <row r="33" spans="1:43" ht="20.100000000000001" customHeight="1" x14ac:dyDescent="0.25">
      <c r="B33" s="17"/>
      <c r="C33" s="949"/>
      <c r="D33" s="1153" t="str">
        <f ca="1">IF($S$12=1,IF($AC$7=1,AB29,IF($AC$11=1,AC29,"")),IF(AND($S$12=2,OR($Y$33="LEEG",$Y$33="ONGELDIG")),IF($AC$7=1,AB29,IF($AC$11=1,AC29,"")),""))</f>
        <v/>
      </c>
      <c r="E33" s="1153"/>
      <c r="F33" s="1153"/>
      <c r="G33" s="1153"/>
      <c r="H33" s="1153"/>
      <c r="I33" s="1153"/>
      <c r="J33" s="17"/>
      <c r="K33" s="1153" t="str">
        <f ca="1">IF($S$12=1,IF($AC$7=1,AB34,IF($AC$11=1,AC34,"")),IF(AND($S$12=2,OR($Z$33="LEEG",$Z$33="ONGELDIG")),IF($AC$7=1,AB34,IF($AC$11=1,AC34,"")),""))</f>
        <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LEEG</v>
      </c>
      <c r="Z33" s="144" t="str">
        <f>IF(Z32=1, "LEEG",IF(AND(Z32&gt;1,Z32&lt;6,TYPE(Z26+Z28+Z30+Z32)=1),IF(OR(Z32=Z26,Z32=Z28,Z32=Z30),"DUBBEL","GOED"),"ONGELDIG"))</f>
        <v>LEEG</v>
      </c>
      <c r="AA33" s="263" t="str">
        <f ca="1">RIGHT(V33,1)</f>
        <v>3</v>
      </c>
      <c r="AB33" s="265" t="str">
        <f>Groepswedstrijden!AC78</f>
        <v/>
      </c>
      <c r="AC33" s="64" t="e">
        <f>#REF!</f>
        <v>#REF!</v>
      </c>
      <c r="AD33" s="143">
        <f ca="1">IF($AC$7=1,VLOOKUP($V33,Groepswedstrijden!$AH$12:$BA$78,20,FALSE),IF($AC$11=1,VLOOKUP($V33,#REF!,20,FALSE),""))</f>
        <v>2</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0</v>
      </c>
      <c r="AH33" s="143">
        <f ca="1">IF($AC$7=1,VLOOKUP($V33,Groepswedstrijden!$AH$12:$BA$78,11,FALSE),IF($AC$11=1,VLOOKUP($V33,#REF!,11,FALSE),""))</f>
        <v>0</v>
      </c>
      <c r="AI33" s="219">
        <f ca="1">IF($AC$7=1,VLOOKUP($V33,Groepswedstrijden!$AH$12:$BA$78,19,FALSE),IF($AC$11=1,VLOOKUP($V33,#REF!,19,FALSE),""))</f>
        <v>5000003500003</v>
      </c>
      <c r="AJ33" s="224">
        <f ca="1">FLOOR(IF($AD31=3,AI31,IF($AD32=3,AI32,IF($AD33=3,AI33,AI34)))/10,1)</f>
        <v>500000350000</v>
      </c>
      <c r="AL33" s="1160"/>
      <c r="AM33" s="339" t="str">
        <f ca="1">IF(AJ33=AJ32,"","3.")</f>
        <v/>
      </c>
      <c r="AN33" s="340" t="str">
        <f ca="1">IF($AD31=3,AE31,IF($AD32=3,AE32,IF($AD33=3,AE33,AE34)))</f>
        <v>Nederland</v>
      </c>
      <c r="AO33" s="341">
        <f ca="1">IF($AD31=3,AF31,IF($AD32=3,AF32,IF($AD33=3,AF33,AF34)))</f>
        <v>0</v>
      </c>
      <c r="AP33" s="341">
        <f ca="1">IF($AD31=3,AG31,IF($AD32=3,AG32,IF($AD33=3,AG33,AG34)))</f>
        <v>0</v>
      </c>
      <c r="AQ33" s="341">
        <f ca="1">IF($AD31=3,AH31,IF($AD32=3,AH32,IF($AD33=3,AH33,AH34)))</f>
        <v>0</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41</v>
      </c>
      <c r="Z34" s="405" t="str">
        <f>IF(TYPE(1*((Z26+Z28+Z30+Z32)&amp;(Z26*Z28*Z30*Z32)))=1,(Z26+Z28+Z30+Z32)&amp;(Z26*Z28*Z30*Z32),14120)</f>
        <v>41</v>
      </c>
      <c r="AA34" s="263" t="str">
        <f ca="1">RIGHT(V34,1)</f>
        <v>4</v>
      </c>
      <c r="AB34" s="265" t="str">
        <f>Groepswedstrijden!AC79</f>
        <v/>
      </c>
      <c r="AC34" s="64" t="e">
        <f>#REF!</f>
        <v>#REF!</v>
      </c>
      <c r="AD34" s="143">
        <f ca="1">IF($AC$7=1,VLOOKUP($V34,Groepswedstrijden!$AH$12:$BA$78,20,FALSE),IF($AC$11=1,VLOOKUP($V34,#REF!,20,FALSE),""))</f>
        <v>4</v>
      </c>
      <c r="AE34" s="186" t="str">
        <f ca="1">IF($AC$7=1,VLOOKUP($V34,Groepswedstrijden!$AH$12:$BA$78,3,FALSE),IF($AC$11=1,VLOOKUP($V34,#REF!,3,FALSE),""))</f>
        <v>Frankrijk</v>
      </c>
      <c r="AF34" s="143">
        <f ca="1">IF($AC$7=1,VLOOKUP($V34,Groepswedstrijden!$AH$12:$BA$78,9,FALSE),IF($AC$11=1,VLOOKUP($V34,#REF!,9,FALSE),""))</f>
        <v>0</v>
      </c>
      <c r="AG34" s="143">
        <f ca="1">IF($AC$7=1,VLOOKUP($V34,Groepswedstrijden!$AH$12:$BA$78,10,FALSE),IF($AC$11=1,VLOOKUP($V34,#REF!,10,FALSE),""))</f>
        <v>0</v>
      </c>
      <c r="AH34" s="143">
        <f ca="1">IF($AC$7=1,VLOOKUP($V34,Groepswedstrijden!$AH$12:$BA$78,11,FALSE),IF($AC$11=1,VLOOKUP($V34,#REF!,11,FALSE),""))</f>
        <v>0</v>
      </c>
      <c r="AI34" s="219">
        <f ca="1">IF($AC$7=1,VLOOKUP($V34,Groepswedstrijden!$AH$12:$BA$78,19,FALSE),IF($AC$11=1,VLOOKUP($V34,#REF!,19,FALSE),""))</f>
        <v>5000003500001</v>
      </c>
      <c r="AJ34" s="224">
        <f ca="1">FLOOR(IF($AD31=4,AI31,IF($AD32=4,AI32,IF($AD33=4,AI33,AI34)))/10,1)</f>
        <v>500000350000</v>
      </c>
      <c r="AL34" s="1161"/>
      <c r="AM34" s="342" t="str">
        <f ca="1">IF(AJ34=AJ33,"","4.")</f>
        <v/>
      </c>
      <c r="AN34" s="343" t="str">
        <f ca="1">IF($AD31=4,AE31,IF($AD32=4,AE32,IF($AD33=4,AE33,AE34)))</f>
        <v>Frankrijk</v>
      </c>
      <c r="AO34" s="344">
        <f ca="1">IF($AD31=4,AF31,IF($AD32=4,AF32,IF($AD33=4,AF33,AF34)))</f>
        <v>0</v>
      </c>
      <c r="AP34" s="344">
        <f ca="1">IF($AD31=4,AG31,IF($AD32=4,AG32,IF($AD33=4,AG33,AG34)))</f>
        <v>0</v>
      </c>
      <c r="AQ34" s="344">
        <f ca="1">IF($AD31=4,AH31,IF($AD32=4,AH32,IF($AD33=4,AH33,AH34)))</f>
        <v>0</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IF(AND(TYPE(Y36)=1,TYPE(Y38)=1,TYPE(Y40)=1,TYPE(Y42)=1),IF(AND(Y37="GOED",Y39="GOED",Y41="GOED",Y43="GOED"),LOOKUP(Y36,S36:S39,U36:U39)&amp;"."&amp;LOOKUP(Y38,S36:S39,U36:U39)&amp;"."&amp;LOOKUP(Y40,S36:S39,U36:U39)&amp;"."&amp;LOOKUP(Y42,S36:S39,U36:U39)&amp;"|","FOUT"),"ONGELDIG")</f>
        <v>FOUT</v>
      </c>
      <c r="Z35" s="162" t="str">
        <f>IF(AND(TYPE(Z36)=1,TYPE(Z38)=1,TYPE(Z40)=1,TYPE(Z42)=1),IF(AND(Z37="GOED",Z39="GOED",Z41="GOED",Z43="GOED"),LOOKUP(Z36,S41:S44,U41:U44)&amp;"."&amp;LOOKUP(Z38,S41:S44,U41:U44)&amp;"."&amp;LOOKUP(Z40,S41:S44,U41:U44)&amp;"."&amp;LOOKUP(Z42,S41:S44,U41:U44)&amp;"|","FOUT"),"ONGELDIG")</f>
        <v>FOUT</v>
      </c>
      <c r="AA35" s="64"/>
      <c r="AB35" s="264" t="str">
        <f ca="1">UPPER(Taal04!$B$26)&amp;" "&amp;V35</f>
        <v>GROEP E</v>
      </c>
      <c r="AC35" s="263" t="str">
        <f ca="1">AB35</f>
        <v>GROEP E</v>
      </c>
      <c r="AD35" s="143"/>
      <c r="AE35" s="187" t="str">
        <f ca="1">AB35</f>
        <v>GROEP E</v>
      </c>
      <c r="AF35" s="143"/>
      <c r="AG35" s="143"/>
      <c r="AH35" s="143"/>
      <c r="AI35" s="219"/>
      <c r="AJ35" s="223"/>
      <c r="AL35" s="602" t="str">
        <f ca="1">IF(AH7="JA","","└ "&amp;SUBSTITUTE(Taal04!B62,"#",RIGHT(AL31,1)))</f>
        <v>└ LET OP: niet alle wedstrijden in groep D zijn ingevuld.</v>
      </c>
    </row>
    <row r="36" spans="1:43" ht="15" customHeight="1" x14ac:dyDescent="0.25">
      <c r="B36" s="17"/>
      <c r="C36" s="949"/>
      <c r="D36" s="335" t="s">
        <v>212</v>
      </c>
      <c r="E36" s="820"/>
      <c r="F36" s="587" t="str">
        <f>IF(Y37="LEEG","▼","")</f>
        <v>▼</v>
      </c>
      <c r="G36" s="17"/>
      <c r="H36" s="741"/>
      <c r="I36" s="741"/>
      <c r="J36" s="17"/>
      <c r="K36" s="335" t="s">
        <v>212</v>
      </c>
      <c r="L36" s="821"/>
      <c r="M36" s="587" t="str">
        <f>IF(Z37="LEEG","▼","")</f>
        <v>▼</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1</v>
      </c>
      <c r="Z36" s="144">
        <f>IF(ISBLANK(L36),1,IF(SUBSTITUTE(W41,L36,"#")&lt;&gt;W41,2,IF(SUBSTITUTE(W42,L36,"#")&lt;&gt;W42,3,IF(SUBSTITUTE(W43,L36,"#")&lt;&gt;W43,4,IF(SUBSTITUTE(W44,L36,"#")&lt;&gt;W44,5,6)))))</f>
        <v>1</v>
      </c>
      <c r="AA36" s="263" t="str">
        <f ca="1">RIGHT(V36,1)</f>
        <v>1</v>
      </c>
      <c r="AB36" s="265" t="str">
        <f>Groepswedstrijden!AD76</f>
        <v/>
      </c>
      <c r="AC36" s="64" t="e">
        <f>#REF!</f>
        <v>#REF!</v>
      </c>
      <c r="AD36" s="143">
        <f ca="1">IF($AC$7=1,VLOOKUP($V36,Groepswedstrijden!$AH$12:$BA$78,20,FALSE),IF($AC$11=1,VLOOKUP($V36,#REF!,20,FALSE),""))</f>
        <v>4</v>
      </c>
      <c r="AE36" s="186" t="str">
        <f ca="1">IF($AC$7=1,VLOOKUP($V36,Groepswedstrijden!$AH$12:$BA$78,3,FALSE),IF($AC$11=1,VLOOKUP($V36,#REF!,3,FALSE),""))</f>
        <v>België</v>
      </c>
      <c r="AF36" s="143">
        <f ca="1">IF($AC$7=1,VLOOKUP($V36,Groepswedstrijden!$AH$12:$BA$78,9,FALSE),IF($AC$11=1,VLOOKUP($V36,#REF!,9,FALSE),""))</f>
        <v>0</v>
      </c>
      <c r="AG36" s="143">
        <f ca="1">IF($AC$7=1,VLOOKUP($V36,Groepswedstrijden!$AH$12:$BA$78,10,FALSE),IF($AC$11=1,VLOOKUP($V36,#REF!,10,FALSE),""))</f>
        <v>0</v>
      </c>
      <c r="AH36" s="143">
        <f ca="1">IF($AC$7=1,VLOOKUP($V36,Groepswedstrijden!$AH$12:$BA$78,11,FALSE),IF($AC$11=1,VLOOKUP($V36,#REF!,11,FALSE),""))</f>
        <v>0</v>
      </c>
      <c r="AI36" s="219">
        <f ca="1">IF($AC$7=1,VLOOKUP($V36,Groepswedstrijden!$AH$12:$BA$78,19,FALSE),IF($AC$11=1,VLOOKUP($V36,#REF!,19,FALSE),""))</f>
        <v>5000003500001</v>
      </c>
      <c r="AJ36" s="224">
        <f ca="1">FLOOR(IF($AD36=1,AI36,IF($AD37=1,AI37,IF($AD38=1,AI38,AI39)))/10,1)</f>
        <v>500000350000</v>
      </c>
      <c r="AL36" s="1159" t="str">
        <f ca="1">AE35</f>
        <v>GROEP E</v>
      </c>
      <c r="AM36" s="336" t="s">
        <v>67</v>
      </c>
      <c r="AN36" s="337" t="str">
        <f ca="1">IF($AD36=1,AE36,IF($AD37=1,AE37,IF($AD38=1,AE38,AE39)))</f>
        <v>Slowakije</v>
      </c>
      <c r="AO36" s="338">
        <f ca="1">IF($AD36=1,AF36,IF($AD37=1,AF37,IF($AD38=1,AF38,AF39)))</f>
        <v>0</v>
      </c>
      <c r="AP36" s="338">
        <f ca="1">IF($AD36=1,AG36,IF($AD37=1,AG37,IF($AD38=1,AG38,AG39)))</f>
        <v>0</v>
      </c>
      <c r="AQ36" s="338">
        <f ca="1">IF($AD36=1,AH36,IF($AD37=1,AH37,IF($AD38=1,AH38,AH39)))</f>
        <v>0</v>
      </c>
    </row>
    <row r="37" spans="1:43" ht="20.100000000000001" customHeight="1" x14ac:dyDescent="0.25">
      <c r="B37" s="17"/>
      <c r="C37" s="949"/>
      <c r="D37" s="1153" t="str">
        <f ca="1">IF($S$12=1,IF($AC$7=1,AB36,IF($AC$11=1,AC36,"")),IF(AND($S$12=2,OR($Y$37="LEEG",$Y$37="ONGELDIG")),IF($AC$7=1,AB36,IF($AC$11=1,AC36,"")),""))</f>
        <v/>
      </c>
      <c r="E37" s="1153"/>
      <c r="F37" s="1153"/>
      <c r="G37" s="1153"/>
      <c r="H37" s="1153"/>
      <c r="I37" s="1153"/>
      <c r="J37" s="17"/>
      <c r="K37" s="1153" t="str">
        <f ca="1">IF($S$12=1,IF($AC$7=1,AB41,IF($AC$11=1,AC41,"")),IF(AND($S$12=2,OR($Z$37="LEEG",$Z$37="ONGELDIG")),IF($AC$7=1,AB41,IF($AC$11=1,AC41,"")),""))</f>
        <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LEEG</v>
      </c>
      <c r="Z37" s="144" t="str">
        <f>IF(Z36=1, "LEEG",IF(AND(Z36&gt;1,Z36&lt;6,TYPE(Z36+Z38+Z40+Z42)=1),IF(OR(Z36=Z38,Z36=Z40,Z36=Z42),"DUBBEL","GOED"),"ONGELDIG"))</f>
        <v>LEEG</v>
      </c>
      <c r="AA37" s="263" t="str">
        <f ca="1">RIGHT(V37,1)</f>
        <v>2</v>
      </c>
      <c r="AB37" s="265" t="str">
        <f>Groepswedstrijden!AD77</f>
        <v/>
      </c>
      <c r="AC37" s="64" t="e">
        <f>#REF!</f>
        <v>#REF!</v>
      </c>
      <c r="AD37" s="143">
        <f ca="1">IF($AC$7=1,VLOOKUP($V37,Groepswedstrijden!$AH$12:$BA$78,20,FALSE),IF($AC$11=1,VLOOKUP($V37,#REF!,20,FALSE),""))</f>
        <v>1</v>
      </c>
      <c r="AE37" s="186" t="str">
        <f ca="1">IF($AC$7=1,VLOOKUP($V37,Groepswedstrijden!$AH$12:$BA$78,3,FALSE),IF($AC$11=1,VLOOKUP($V37,#REF!,3,FALSE),""))</f>
        <v>Slowakije</v>
      </c>
      <c r="AF37" s="143">
        <f ca="1">IF($AC$7=1,VLOOKUP($V37,Groepswedstrijden!$AH$12:$BA$78,9,FALSE),IF($AC$11=1,VLOOKUP($V37,#REF!,9,FALSE),""))</f>
        <v>0</v>
      </c>
      <c r="AG37" s="143">
        <f ca="1">IF($AC$7=1,VLOOKUP($V37,Groepswedstrijden!$AH$12:$BA$78,10,FALSE),IF($AC$11=1,VLOOKUP($V37,#REF!,10,FALSE),""))</f>
        <v>0</v>
      </c>
      <c r="AH37" s="143">
        <f ca="1">IF($AC$7=1,VLOOKUP($V37,Groepswedstrijden!$AH$12:$BA$78,11,FALSE),IF($AC$11=1,VLOOKUP($V37,#REF!,11,FALSE),""))</f>
        <v>0</v>
      </c>
      <c r="AI37" s="219">
        <f ca="1">IF($AC$7=1,VLOOKUP($V37,Groepswedstrijden!$AH$12:$BA$78,19,FALSE),IF($AC$11=1,VLOOKUP($V37,#REF!,19,FALSE),""))</f>
        <v>5000003500004</v>
      </c>
      <c r="AJ37" s="224">
        <f ca="1">FLOOR(IF($AD36=2,AI36,IF($AD37=2,AI37,IF($AD38=2,AI38,AI39)))/10,1)</f>
        <v>500000350000</v>
      </c>
      <c r="AL37" s="1160"/>
      <c r="AM37" s="339" t="str">
        <f ca="1">IF(AJ37=AJ36,"","2.")</f>
        <v/>
      </c>
      <c r="AN37" s="340" t="str">
        <f ca="1">IF($AD36=2,AE36,IF($AD37=2,AE37,IF($AD38=2,AE38,AE39)))</f>
        <v>Roemenië</v>
      </c>
      <c r="AO37" s="341">
        <f ca="1">IF($AD36=2,AF36,IF($AD37=2,AF37,IF($AD38=2,AF38,AF39)))</f>
        <v>0</v>
      </c>
      <c r="AP37" s="341">
        <f ca="1">IF($AD36=2,AG36,IF($AD37=2,AG37,IF($AD38=2,AG38,AG39)))</f>
        <v>0</v>
      </c>
      <c r="AQ37" s="341">
        <f ca="1">IF($AD36=2,AH36,IF($AD37=2,AH37,IF($AD38=2,AH38,AH39)))</f>
        <v>0</v>
      </c>
    </row>
    <row r="38" spans="1:43" ht="15" customHeight="1" x14ac:dyDescent="0.25">
      <c r="B38" s="17"/>
      <c r="C38" s="949"/>
      <c r="D38" s="335" t="s">
        <v>213</v>
      </c>
      <c r="E38" s="820"/>
      <c r="F38" s="587" t="str">
        <f>IF(Y39="LEEG","▼","")</f>
        <v>▼</v>
      </c>
      <c r="G38" s="17"/>
      <c r="H38" s="17"/>
      <c r="I38" s="17"/>
      <c r="J38" s="17"/>
      <c r="K38" s="335" t="s">
        <v>213</v>
      </c>
      <c r="L38" s="821"/>
      <c r="M38" s="587" t="str">
        <f>IF(Z39="LEEG","▼","")</f>
        <v>▼</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1</v>
      </c>
      <c r="Z38" s="144">
        <f>IF(ISBLANK(L38),1,IF(SUBSTITUTE(W41,L38,"#")&lt;&gt;W41,2,IF(SUBSTITUTE(W42,L38,"#")&lt;&gt;W42,3,IF(SUBSTITUTE(W43,L38,"#")&lt;&gt;W43,4,IF(SUBSTITUTE(W44,L38,"#")&lt;&gt;W44,5,6)))))</f>
        <v>1</v>
      </c>
      <c r="AA38" s="263" t="str">
        <f ca="1">RIGHT(V38,1)</f>
        <v>3</v>
      </c>
      <c r="AB38" s="265" t="str">
        <f>Groepswedstrijden!AD78</f>
        <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0</v>
      </c>
      <c r="AG38" s="143">
        <f ca="1">IF($AC$7=1,VLOOKUP($V38,Groepswedstrijden!$AH$12:$BA$78,10,FALSE),IF($AC$11=1,VLOOKUP($V38,#REF!,10,FALSE),""))</f>
        <v>0</v>
      </c>
      <c r="AH38" s="143">
        <f ca="1">IF($AC$7=1,VLOOKUP($V38,Groepswedstrijden!$AH$12:$BA$78,11,FALSE),IF($AC$11=1,VLOOKUP($V38,#REF!,11,FALSE),""))</f>
        <v>0</v>
      </c>
      <c r="AI38" s="219">
        <f ca="1">IF($AC$7=1,VLOOKUP($V38,Groepswedstrijden!$AH$12:$BA$78,19,FALSE),IF($AC$11=1,VLOOKUP($V38,#REF!,19,FALSE),""))</f>
        <v>5000003500003</v>
      </c>
      <c r="AJ38" s="224">
        <f ca="1">FLOOR(IF($AD36=3,AI36,IF($AD37=3,AI37,IF($AD38=3,AI38,AI39)))/10,1)</f>
        <v>500000350000</v>
      </c>
      <c r="AL38" s="1160"/>
      <c r="AM38" s="339" t="str">
        <f ca="1">IF(AJ38=AJ37,"","3.")</f>
        <v/>
      </c>
      <c r="AN38" s="340" t="str">
        <f ca="1">IF($AD36=3,AE36,IF($AD37=3,AE37,IF($AD38=3,AE38,AE39)))</f>
        <v>Oekraïne</v>
      </c>
      <c r="AO38" s="341">
        <f ca="1">IF($AD36=3,AF36,IF($AD37=3,AF37,IF($AD38=3,AF38,AF39)))</f>
        <v>0</v>
      </c>
      <c r="AP38" s="341">
        <f ca="1">IF($AD36=3,AG36,IF($AD37=3,AG37,IF($AD38=3,AG38,AG39)))</f>
        <v>0</v>
      </c>
      <c r="AQ38" s="341">
        <f ca="1">IF($AD36=3,AH36,IF($AD37=3,AH37,IF($AD38=3,AH38,AH39)))</f>
        <v>0</v>
      </c>
    </row>
    <row r="39" spans="1:43" ht="20.100000000000001" customHeight="1" x14ac:dyDescent="0.25">
      <c r="B39" s="17"/>
      <c r="C39" s="949"/>
      <c r="D39" s="1153" t="str">
        <f ca="1">IF($S$12=1,IF($AC$7=1,AB37,IF($AC$11=1,AC37,"")),IF(AND($S$12=2,OR($Y$39="LEEG",$Y$39="ONGELDIG")),IF($AC$7=1,AB37,IF($AC$11=1,AC37,"")),""))</f>
        <v/>
      </c>
      <c r="E39" s="1153"/>
      <c r="F39" s="1153"/>
      <c r="G39" s="1153"/>
      <c r="H39" s="1153"/>
      <c r="I39" s="1153"/>
      <c r="J39" s="17"/>
      <c r="K39" s="1153" t="str">
        <f ca="1">IF($S$12=1,IF($AC$7=1,AB42,IF($AC$11=1,AC42,"")),IF(AND($S$12=2,OR($Z$39="LEEG",$Z$39="ONGELDIG")),IF($AC$7=1,AB42,IF($AC$11=1,AC42,"")),""))</f>
        <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LEEG</v>
      </c>
      <c r="Z39" s="144" t="str">
        <f>IF(Z38=1, "LEEG",IF(AND(Z38&gt;1,Z38&lt;6,TYPE(Z36+Z38+Z40+Z42)=1),IF(OR(Z38=Z36,Z38=Z40,Z38=Z42),"DUBBEL","GOED"),"ONGELDIG"))</f>
        <v>LEEG</v>
      </c>
      <c r="AA39" s="263" t="str">
        <f ca="1">RIGHT(V39,1)</f>
        <v>4</v>
      </c>
      <c r="AB39" s="265" t="str">
        <f>Groepswedstrijden!AD79</f>
        <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0</v>
      </c>
      <c r="AG39" s="143">
        <f ca="1">IF($AC$7=1,VLOOKUP($V39,Groepswedstrijden!$AH$12:$BA$78,10,FALSE),IF($AC$11=1,VLOOKUP($V39,#REF!,10,FALSE),""))</f>
        <v>0</v>
      </c>
      <c r="AH39" s="143">
        <f ca="1">IF($AC$7=1,VLOOKUP($V39,Groepswedstrijden!$AH$12:$BA$78,11,FALSE),IF($AC$11=1,VLOOKUP($V39,#REF!,11,FALSE),""))</f>
        <v>0</v>
      </c>
      <c r="AI39" s="219">
        <f ca="1">IF($AC$7=1,VLOOKUP($V39,Groepswedstrijden!$AH$12:$BA$78,19,FALSE),IF($AC$11=1,VLOOKUP($V39,#REF!,19,FALSE),""))</f>
        <v>5000003500002</v>
      </c>
      <c r="AJ39" s="224">
        <f ca="1">FLOOR(IF($AD36=4,AI36,IF($AD37=4,AI37,IF($AD38=4,AI38,AI39)))/10,1)</f>
        <v>500000350000</v>
      </c>
      <c r="AL39" s="1161"/>
      <c r="AM39" s="342" t="str">
        <f ca="1">IF(AJ39=AJ38,"","4.")</f>
        <v/>
      </c>
      <c r="AN39" s="343" t="str">
        <f ca="1">IF($AD36=4,AE36,IF($AD37=4,AE37,IF($AD38=4,AE38,AE39)))</f>
        <v>België</v>
      </c>
      <c r="AO39" s="344">
        <f ca="1">IF($AD36=4,AF36,IF($AD37=4,AF37,IF($AD38=4,AF38,AF39)))</f>
        <v>0</v>
      </c>
      <c r="AP39" s="344">
        <f ca="1">IF($AD36=4,AG36,IF($AD37=4,AG37,IF($AD38=4,AG38,AG39)))</f>
        <v>0</v>
      </c>
      <c r="AQ39" s="344">
        <f ca="1">IF($AD36=4,AH36,IF($AD37=4,AH37,IF($AD38=4,AH38,AH39)))</f>
        <v>0</v>
      </c>
    </row>
    <row r="40" spans="1:43" ht="15" customHeight="1" x14ac:dyDescent="0.25">
      <c r="B40" s="17"/>
      <c r="C40" s="949"/>
      <c r="D40" s="335" t="s">
        <v>214</v>
      </c>
      <c r="E40" s="820"/>
      <c r="F40" s="587" t="str">
        <f>IF(Y41="LEEG","▼","")</f>
        <v>▼</v>
      </c>
      <c r="G40" s="17"/>
      <c r="H40" s="17"/>
      <c r="I40" s="17"/>
      <c r="J40" s="17"/>
      <c r="K40" s="335" t="s">
        <v>214</v>
      </c>
      <c r="L40" s="821"/>
      <c r="M40" s="587" t="str">
        <f>IF(Z41="LEEG","▼","")</f>
        <v>▼</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1</v>
      </c>
      <c r="Z40" s="144">
        <f>IF(ISBLANK(L40),1,IF(SUBSTITUTE(W41,L40,"#")&lt;&gt;W41,2,IF(SUBSTITUTE(W42,L40,"#")&lt;&gt;W42,3,IF(SUBSTITUTE(W43,L40,"#")&lt;&gt;W43,4,IF(SUBSTITUTE(W44,L40,"#")&lt;&gt;W44,5,6)))))</f>
        <v>1</v>
      </c>
      <c r="AA40" s="64"/>
      <c r="AB40" s="264" t="str">
        <f ca="1">UPPER(Taal04!$B$26)&amp;" "&amp;V40</f>
        <v>GROEP F</v>
      </c>
      <c r="AC40" s="263" t="str">
        <f ca="1">AB40</f>
        <v>GROEP F</v>
      </c>
      <c r="AD40" s="143"/>
      <c r="AE40" s="187" t="str">
        <f ca="1">AB40</f>
        <v>GROEP F</v>
      </c>
      <c r="AF40" s="143"/>
      <c r="AG40" s="143"/>
      <c r="AH40" s="143"/>
      <c r="AI40" s="219"/>
      <c r="AJ40" s="223"/>
      <c r="AL40" s="602" t="str">
        <f ca="1">IF(AF8="JA","","└ "&amp;SUBSTITUTE(Taal04!B62,"#",RIGHT(AL36,1)))</f>
        <v>└ LET OP: niet alle wedstrijden in groep E zijn ingevuld.</v>
      </c>
      <c r="AM40" s="601"/>
      <c r="AP40" s="603"/>
      <c r="AQ40" s="603"/>
    </row>
    <row r="41" spans="1:43" ht="20.100000000000001" customHeight="1" x14ac:dyDescent="0.25">
      <c r="B41" s="17"/>
      <c r="C41" s="949"/>
      <c r="D41" s="1153" t="str">
        <f ca="1">IF($S$12=1,IF($AC$7=1,AB38,IF($AC$11=1,AC38,"")),IF(AND($S$12=2,OR($Y$41="LEEG",$Y$41="ONGELDIG")),IF($AC$7=1,AB38,IF($AC$11=1,AC38,"")),""))</f>
        <v/>
      </c>
      <c r="E41" s="1153"/>
      <c r="F41" s="1153"/>
      <c r="G41" s="1153"/>
      <c r="H41" s="1153"/>
      <c r="I41" s="1153"/>
      <c r="J41" s="17"/>
      <c r="K41" s="1153" t="str">
        <f ca="1">IF($S$12=1,IF($AC$7=1,AB43,IF($AC$11=1,AC43,"")),IF(AND($S$12=2,OR($Z$41="LEEG",$Z$41="ONGELDIG")),IF($AC$7=1,AB43,IF($AC$11=1,AC43,"")),""))</f>
        <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LEEG</v>
      </c>
      <c r="Z41" s="144" t="str">
        <f>IF(Z40=1, "LEEG",IF(AND(Z40&gt;1,Z40&lt;6,TYPE(Z36+Z38+Z40+Z42)=1),IF(OR(Z40=Z36,Z40=Z38,Z40=Z42),"DUBBEL","GOED"),"ONGELDIG"))</f>
        <v>LEEG</v>
      </c>
      <c r="AA41" s="263" t="str">
        <f ca="1">RIGHT(V41,1)</f>
        <v>1</v>
      </c>
      <c r="AB41" s="265" t="str">
        <f>Groepswedstrijden!AE76</f>
        <v/>
      </c>
      <c r="AC41" s="64" t="e">
        <f>#REF!</f>
        <v>#REF!</v>
      </c>
      <c r="AD41" s="143">
        <f ca="1">IF($AC$7=1,VLOOKUP($V41,Groepswedstrijden!$AH$12:$BA$78,20,FALSE),IF($AC$11=1,VLOOKUP($V41,#REF!,20,FALSE),""))</f>
        <v>1</v>
      </c>
      <c r="AE41" s="186" t="str">
        <f ca="1">IF($AC$7=1,VLOOKUP($V41,Groepswedstrijden!$AH$12:$BA$78,3,FALSE),IF($AC$11=1,VLOOKUP($V41,#REF!,3,FALSE),""))</f>
        <v>Turkije</v>
      </c>
      <c r="AF41" s="143">
        <f ca="1">IF($AC$7=1,VLOOKUP($V41,Groepswedstrijden!$AH$12:$BA$78,9,FALSE),IF($AC$11=1,VLOOKUP($V41,#REF!,9,FALSE),""))</f>
        <v>0</v>
      </c>
      <c r="AG41" s="143">
        <f ca="1">IF($AC$7=1,VLOOKUP($V41,Groepswedstrijden!$AH$12:$BA$78,10,FALSE),IF($AC$11=1,VLOOKUP($V41,#REF!,10,FALSE),""))</f>
        <v>0</v>
      </c>
      <c r="AH41" s="143">
        <f ca="1">IF($AC$7=1,VLOOKUP($V41,Groepswedstrijden!$AH$12:$BA$78,11,FALSE),IF($AC$11=1,VLOOKUP($V41,#REF!,11,FALSE),""))</f>
        <v>0</v>
      </c>
      <c r="AI41" s="219">
        <f ca="1">IF($AC$7=1,VLOOKUP($V41,Groepswedstrijden!$AH$12:$BA$78,19,FALSE),IF($AC$11=1,VLOOKUP($V41,#REF!,19,FALSE),""))</f>
        <v>5000003500004</v>
      </c>
      <c r="AJ41" s="224">
        <f ca="1">FLOOR(IF($AD41=1,AI41,IF($AD42=1,AI42,IF($AD43=1,AI43,AI44)))/10,1)</f>
        <v>500000350000</v>
      </c>
      <c r="AL41" s="1159" t="str">
        <f ca="1">AE40</f>
        <v>GROEP F</v>
      </c>
      <c r="AM41" s="336" t="s">
        <v>67</v>
      </c>
      <c r="AN41" s="337" t="str">
        <f ca="1">IF($AD41=1,AE41,IF($AD42=1,AE42,IF($AD43=1,AE43,AE44)))</f>
        <v>Turkije</v>
      </c>
      <c r="AO41" s="338">
        <f ca="1">IF($AD41=1,AF41,IF($AD42=1,AF42,IF($AD43=1,AF43,AF44)))</f>
        <v>0</v>
      </c>
      <c r="AP41" s="338">
        <f ca="1">IF($AD41=1,AG41,IF($AD42=1,AG42,IF($AD43=1,AG43,AG44)))</f>
        <v>0</v>
      </c>
      <c r="AQ41" s="338">
        <f ca="1">IF($AD41=1,AH41,IF($AD42=1,AH42,IF($AD43=1,AH43,AH44)))</f>
        <v>0</v>
      </c>
    </row>
    <row r="42" spans="1:43" ht="15" customHeight="1" x14ac:dyDescent="0.25">
      <c r="B42" s="17"/>
      <c r="C42" s="949"/>
      <c r="D42" s="335" t="s">
        <v>215</v>
      </c>
      <c r="E42" s="820"/>
      <c r="F42" s="587" t="str">
        <f>IF(Y43="LEEG","▼","")</f>
        <v>▼</v>
      </c>
      <c r="G42" s="17"/>
      <c r="H42" s="17"/>
      <c r="I42" s="17"/>
      <c r="J42" s="17"/>
      <c r="K42" s="335" t="s">
        <v>215</v>
      </c>
      <c r="L42" s="821"/>
      <c r="M42" s="587" t="str">
        <f>IF(Z43="LEEG","▼","")</f>
        <v>▼</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1</v>
      </c>
      <c r="Z42" s="144">
        <f>IF(ISBLANK(L42),1,IF(SUBSTITUTE(W41,L42,"#")&lt;&gt;W41,2,IF(SUBSTITUTE(W42,L42,"#")&lt;&gt;W42,3,IF(SUBSTITUTE(W43,L42,"#")&lt;&gt;W43,4,IF(SUBSTITUTE(W44,L42,"#")&lt;&gt;W44,5,6)))))</f>
        <v>1</v>
      </c>
      <c r="AA42" s="263" t="str">
        <f ca="1">RIGHT(V42,1)</f>
        <v>2</v>
      </c>
      <c r="AB42" s="265" t="str">
        <f>Groepswedstrijden!AE77</f>
        <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0</v>
      </c>
      <c r="AI42" s="219">
        <f ca="1">IF($AC$7=1,VLOOKUP($V42,Groepswedstrijden!$AH$12:$BA$78,19,FALSE),IF($AC$11=1,VLOOKUP($V42,#REF!,19,FALSE),""))</f>
        <v>5000003500001</v>
      </c>
      <c r="AJ42" s="224">
        <f ca="1">FLOOR(IF($AD41=2,AI41,IF($AD42=2,AI42,IF($AD43=2,AI43,AI44)))/10,1)</f>
        <v>500000350000</v>
      </c>
      <c r="AL42" s="1160"/>
      <c r="AM42" s="339" t="str">
        <f ca="1">IF(AJ42=AJ41,"","2.")</f>
        <v/>
      </c>
      <c r="AN42" s="340" t="str">
        <f ca="1">IF($AD41=2,AE41,IF($AD42=2,AE42,IF($AD43=2,AE43,AE44)))</f>
        <v>Tsjechië</v>
      </c>
      <c r="AO42" s="341">
        <f ca="1">IF($AD41=2,AF41,IF($AD42=2,AF42,IF($AD43=2,AF43,AF44)))</f>
        <v>0</v>
      </c>
      <c r="AP42" s="341">
        <f ca="1">IF($AD41=2,AG41,IF($AD42=2,AG42,IF($AD43=2,AG43,AG44)))</f>
        <v>0</v>
      </c>
      <c r="AQ42" s="341">
        <f ca="1">IF($AD41=2,AH41,IF($AD42=2,AH42,IF($AD43=2,AH43,AH44)))</f>
        <v>0</v>
      </c>
    </row>
    <row r="43" spans="1:43" ht="20.100000000000001" customHeight="1" x14ac:dyDescent="0.25">
      <c r="B43" s="17"/>
      <c r="C43" s="949"/>
      <c r="D43" s="1153" t="str">
        <f ca="1">IF($S$12=1,IF($AC$7=1,AB39,IF($AC$11=1,AC39,"")),IF(AND($S$12=2,OR($Y$43="LEEG",$Y$43="ONGELDIG")),IF($AC$7=1,AB39,IF($AC$11=1,AC39,"")),""))</f>
        <v/>
      </c>
      <c r="E43" s="1153"/>
      <c r="F43" s="1153"/>
      <c r="G43" s="1153"/>
      <c r="H43" s="1153"/>
      <c r="I43" s="1153"/>
      <c r="J43" s="17"/>
      <c r="K43" s="1153" t="str">
        <f ca="1">IF($S$12=1,IF($AC$7=1,AB44,IF($AC$11=1,AC44,"")),IF(AND($S$12=2,OR($Z$43="LEEG",$Z$43="ONGELDIG")),IF($AC$7=1,AB44,IF($AC$11=1,AC44,"")),""))</f>
        <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LEEG</v>
      </c>
      <c r="Z43" s="144" t="str">
        <f>IF(Z42=1, "LEEG",IF(AND(Z42&gt;1,Z42&lt;6,TYPE(Z36+Z38+Z40+Z42)=1),IF(OR(Z42=Z36,Z42=Z38,Z42=Z40),"DUBBEL","GOED"),"ONGELDIG"))</f>
        <v>LEEG</v>
      </c>
      <c r="AA43" s="263" t="str">
        <f ca="1">RIGHT(V43,1)</f>
        <v>3</v>
      </c>
      <c r="AB43" s="265" t="str">
        <f>Groepswedstrijden!AE78</f>
        <v/>
      </c>
      <c r="AC43" s="64" t="e">
        <f>#REF!</f>
        <v>#REF!</v>
      </c>
      <c r="AD43" s="143">
        <f ca="1">IF($AC$7=1,VLOOKUP($V43,Groepswedstrijden!$AH$12:$BA$78,20,FALSE),IF($AC$11=1,VLOOKUP($V43,#REF!,20,FALSE),""))</f>
        <v>3</v>
      </c>
      <c r="AE43" s="186" t="str">
        <f ca="1">IF($AC$7=1,VLOOKUP($V43,Groepswedstrijden!$AH$12:$BA$78,3,FALSE),IF($AC$11=1,VLOOKUP($V43,#REF!,3,FALSE),""))</f>
        <v>Portugal</v>
      </c>
      <c r="AF43" s="143">
        <f ca="1">IF($AC$7=1,VLOOKUP($V43,Groepswedstrijden!$AH$12:$BA$78,9,FALSE),IF($AC$11=1,VLOOKUP($V43,#REF!,9,FALSE),""))</f>
        <v>0</v>
      </c>
      <c r="AG43" s="143">
        <f ca="1">IF($AC$7=1,VLOOKUP($V43,Groepswedstrijden!$AH$12:$BA$78,10,FALSE),IF($AC$11=1,VLOOKUP($V43,#REF!,10,FALSE),""))</f>
        <v>0</v>
      </c>
      <c r="AH43" s="143">
        <f ca="1">IF($AC$7=1,VLOOKUP($V43,Groepswedstrijden!$AH$12:$BA$78,11,FALSE),IF($AC$11=1,VLOOKUP($V43,#REF!,11,FALSE),""))</f>
        <v>0</v>
      </c>
      <c r="AI43" s="219">
        <f ca="1">IF($AC$7=1,VLOOKUP($V43,Groepswedstrijden!$AH$12:$BA$78,19,FALSE),IF($AC$11=1,VLOOKUP($V43,#REF!,19,FALSE),""))</f>
        <v>5000003500002</v>
      </c>
      <c r="AJ43" s="224">
        <f ca="1">FLOOR(IF($AD41=3,AI41,IF($AD42=3,AI42,IF($AD43=3,AI43,AI44)))/10,1)</f>
        <v>500000350000</v>
      </c>
      <c r="AL43" s="1160"/>
      <c r="AM43" s="339" t="str">
        <f ca="1">IF(AJ43=AJ42,"","3.")</f>
        <v/>
      </c>
      <c r="AN43" s="340" t="str">
        <f ca="1">IF($AD41=3,AE41,IF($AD42=3,AE42,IF($AD43=3,AE43,AE44)))</f>
        <v>Portugal</v>
      </c>
      <c r="AO43" s="341">
        <f ca="1">IF($AD41=3,AF41,IF($AD42=3,AF42,IF($AD43=3,AF43,AF44)))</f>
        <v>0</v>
      </c>
      <c r="AP43" s="341">
        <f ca="1">IF($AD41=3,AG41,IF($AD42=3,AG42,IF($AD43=3,AG43,AG44)))</f>
        <v>0</v>
      </c>
      <c r="AQ43" s="341">
        <f ca="1">IF($AD41=3,AH41,IF($AD42=3,AH42,IF($AD43=3,AH43,AH44)))</f>
        <v>0</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41</v>
      </c>
      <c r="Z44" s="405" t="str">
        <f>IF(TYPE(1*((Z36+Z38+Z40+Z42)&amp;(Z36*Z38*Z40*Z42)))=1,(Z36+Z38+Z40+Z42)&amp;(Z36*Z38*Z40*Z42),14120)</f>
        <v>41</v>
      </c>
      <c r="AA44" s="263" t="str">
        <f ca="1">RIGHT(V44,1)</f>
        <v>4</v>
      </c>
      <c r="AB44" s="265" t="str">
        <f>Groepswedstrijden!AE79</f>
        <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0</v>
      </c>
      <c r="AG44" s="143">
        <f ca="1">IF($AC$7=1,VLOOKUP($V44,Groepswedstrijden!$AH$12:$BA$78,10,FALSE),IF($AC$11=1,VLOOKUP($V44,#REF!,10,FALSE),""))</f>
        <v>0</v>
      </c>
      <c r="AH44" s="143">
        <f ca="1">IF($AC$7=1,VLOOKUP($V44,Groepswedstrijden!$AH$12:$BA$78,11,FALSE),IF($AC$11=1,VLOOKUP($V44,#REF!,11,FALSE),""))</f>
        <v>0</v>
      </c>
      <c r="AI44" s="219">
        <f ca="1">IF($AC$7=1,VLOOKUP($V44,Groepswedstrijden!$AH$12:$BA$78,19,FALSE),IF($AC$11=1,VLOOKUP($V44,#REF!,19,FALSE),""))</f>
        <v>5000003500003</v>
      </c>
      <c r="AJ44" s="224">
        <f ca="1">FLOOR(IF($AD41=4,AI41,IF($AD42=4,AI42,IF($AD43=4,AI43,AI44)))/10,1)</f>
        <v>500000350000</v>
      </c>
      <c r="AL44" s="1161"/>
      <c r="AM44" s="342" t="str">
        <f ca="1">IF(AJ44=AJ43,"","4.")</f>
        <v/>
      </c>
      <c r="AN44" s="343" t="str">
        <f ca="1">IF($AD41=4,AE41,IF($AD42=4,AE42,IF($AD43=4,AE43,AE44)))</f>
        <v>Georgië</v>
      </c>
      <c r="AO44" s="344">
        <f ca="1">IF($AD41=4,AF41,IF($AD42=4,AF42,IF($AD43=4,AF43,AF44)))</f>
        <v>0</v>
      </c>
      <c r="AP44" s="344">
        <f ca="1">IF($AD41=4,AG41,IF($AD42=4,AG42,IF($AD43=4,AG43,AG44)))</f>
        <v>0</v>
      </c>
      <c r="AQ44" s="344">
        <f ca="1">IF($AD41=4,AH41,IF($AD42=4,AH42,IF($AD43=4,AH43,AH44)))</f>
        <v>0</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 ca="1">IF(AH8="JA","","└ "&amp;SUBSTITUTE(Taal04!B62,"#",RIGHT(AL41,1)))</f>
        <v>└ LET OP: niet alle wedstrijden in groep F zijn ingevuld.</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Y15&amp;Z15&amp;Y25&amp;Z25&amp;Y35&amp;Z35&amp;IF(A45="H","",Y45&amp;Z45)</f>
        <v>FOUTFOUTFOUTFOUTFOUTFOUT</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IF(COUNTIF(Y15:Z54,"DUBBEL")&gt;0,1,0)</f>
        <v>0</v>
      </c>
      <c r="U59" s="144"/>
      <c r="V59" s="144"/>
      <c r="W59" s="144"/>
      <c r="X59" s="1183"/>
      <c r="Y59" s="1184"/>
      <c r="Z59" s="1185"/>
      <c r="AA59" s="1186" t="str">
        <f>IF(LEN(SUBSTITUTE(X57,"FOUT","ONGELDIG"))=Z60,"GOED","FOUT")</f>
        <v>FOUT</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LEN(X57)</f>
        <v>24</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VfgYmkFUCTVp2al/LIBcQgBbC8OE2WdPFSprsh8KH6cmn2rZqEKcfPLsMUBUzn/02u36o1VdmscU66D+YgoD9g==" saltValue="rd0q8y1/S97jw0eP2gLnu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Ron van Deursen</cp:lastModifiedBy>
  <cp:lastPrinted>2024-03-13T21:09:19Z</cp:lastPrinted>
  <dcterms:created xsi:type="dcterms:W3CDTF">2008-04-11T17:46:19Z</dcterms:created>
  <dcterms:modified xsi:type="dcterms:W3CDTF">2024-05-05T16:01:03Z</dcterms:modified>
</cp:coreProperties>
</file>